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Randy.Roebuck\Downloads\"/>
    </mc:Choice>
  </mc:AlternateContent>
  <xr:revisionPtr revIDLastSave="0" documentId="13_ncr:1_{416FE93B-5AB0-47A8-AD89-5257FF72E2B5}" xr6:coauthVersionLast="47" xr6:coauthVersionMax="47" xr10:uidLastSave="{00000000-0000-0000-0000-000000000000}"/>
  <workbookProtection workbookAlgorithmName="SHA-512" workbookHashValue="a09AWQ9SR7bk7hqPhMTqVrcAt08cBd11zP2IvH/fLTS/+3Yrq8GV7LHsLV2MqhUpDRKMM6W7wnAhUpLrOsycbw==" workbookSaltValue="SgGK4lf8Z3D/iw5n+5fZuA==" workbookSpinCount="100000" lockStructure="1"/>
  <bookViews>
    <workbookView xWindow="-110" yWindow="-110" windowWidth="38620" windowHeight="21100" activeTab="4" xr2:uid="{00000000-000D-0000-FFFF-FFFF00000000}"/>
  </bookViews>
  <sheets>
    <sheet name="1 Salary Summary" sheetId="1" r:id="rId1"/>
    <sheet name="2 Housing Adjustment" sheetId="2" r:id="rId2"/>
    <sheet name="3 Track Record, Exp, Edn, Size" sheetId="3" r:id="rId3"/>
    <sheet name="Notes 2026" sheetId="6" r:id="rId4"/>
    <sheet name="Living Wage" sheetId="8" r:id="rId5"/>
    <sheet name="Variables" sheetId="4" state="hidden" r:id="rId6"/>
    <sheet name="Testing" sheetId="5" state="hidden" r:id="rId7"/>
  </sheets>
  <externalReferences>
    <externalReference r:id="rId8"/>
  </externalReferences>
  <definedNames>
    <definedName name="Amort">Variables!$C$67</definedName>
    <definedName name="Base">Variables!$D$24</definedName>
    <definedName name="COLA">Variables!$D$8</definedName>
    <definedName name="Education">'3 Track Record, Exp, Edn, Size'!$I$16</definedName>
    <definedName name="Experience">Variables!$D$17</definedName>
    <definedName name="Google_Sheet_Link_1311684507" hidden="1">Salcomponents</definedName>
    <definedName name="Google_Sheet_Link_1497081137" hidden="1">COLA</definedName>
    <definedName name="Google_Sheet_Link_485265560" hidden="1">Base</definedName>
    <definedName name="Google_Sheet_Link_967164556" hidden="1">Housingadj</definedName>
    <definedName name="Housingadj">Variables!$D$23</definedName>
    <definedName name="HousingAdjustment">'2 Housing Adjustment'!$E$13</definedName>
    <definedName name="Interest">Variables!$C$66</definedName>
    <definedName name="Principle">Variables!$C$65</definedName>
    <definedName name="Salcomponents">Testing!$C$4:$C$8</definedName>
    <definedName name="Size">'3 Track Record, Exp, Edn, Size'!$L$16</definedName>
    <definedName name="Tax">Variables!$C$68</definedName>
    <definedName name="TrackRec">'3 Track Record, Exp, Edn, Size'!$C$16</definedName>
    <definedName name="Util">Variables!$C$68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ukOvnF9bm9lc/q0lj4UC9uDv4dhtglfxNWnRUdZSUwA="/>
    </ext>
  </extLst>
</workbook>
</file>

<file path=xl/calcChain.xml><?xml version="1.0" encoding="utf-8"?>
<calcChain xmlns="http://schemas.openxmlformats.org/spreadsheetml/2006/main">
  <c r="F5" i="8" l="1"/>
  <c r="F6" i="8"/>
  <c r="F7" i="8"/>
  <c r="F8" i="8"/>
  <c r="F9" i="8"/>
  <c r="F10" i="8"/>
  <c r="F11" i="8"/>
  <c r="F12" i="8"/>
  <c r="F13" i="8"/>
  <c r="F14" i="8"/>
  <c r="E73" i="5"/>
  <c r="D73" i="5"/>
  <c r="C73" i="5"/>
  <c r="K71" i="5"/>
  <c r="J71" i="5"/>
  <c r="H71" i="5"/>
  <c r="I71" i="5" s="1"/>
  <c r="M71" i="5" s="1"/>
  <c r="J70" i="5"/>
  <c r="K70" i="5" s="1"/>
  <c r="H70" i="5"/>
  <c r="I70" i="5" s="1"/>
  <c r="M70" i="5" s="1"/>
  <c r="K69" i="5"/>
  <c r="J69" i="5"/>
  <c r="I69" i="5"/>
  <c r="M69" i="5" s="1"/>
  <c r="H69" i="5"/>
  <c r="J68" i="5"/>
  <c r="K68" i="5" s="1"/>
  <c r="H68" i="5"/>
  <c r="I68" i="5" s="1"/>
  <c r="M68" i="5" s="1"/>
  <c r="M67" i="5"/>
  <c r="K67" i="5"/>
  <c r="J67" i="5"/>
  <c r="I67" i="5"/>
  <c r="H67" i="5"/>
  <c r="J66" i="5"/>
  <c r="K66" i="5" s="1"/>
  <c r="H66" i="5"/>
  <c r="I66" i="5" s="1"/>
  <c r="M66" i="5" s="1"/>
  <c r="J65" i="5"/>
  <c r="K65" i="5" s="1"/>
  <c r="I65" i="5"/>
  <c r="M65" i="5" s="1"/>
  <c r="H65" i="5"/>
  <c r="J64" i="5"/>
  <c r="K64" i="5" s="1"/>
  <c r="H64" i="5"/>
  <c r="I64" i="5" s="1"/>
  <c r="M64" i="5" s="1"/>
  <c r="J63" i="5"/>
  <c r="K63" i="5" s="1"/>
  <c r="H63" i="5"/>
  <c r="I63" i="5" s="1"/>
  <c r="M63" i="5" s="1"/>
  <c r="J62" i="5"/>
  <c r="K62" i="5" s="1"/>
  <c r="H62" i="5"/>
  <c r="I62" i="5" s="1"/>
  <c r="M62" i="5" s="1"/>
  <c r="J61" i="5"/>
  <c r="K61" i="5" s="1"/>
  <c r="H61" i="5"/>
  <c r="I61" i="5" s="1"/>
  <c r="M61" i="5" s="1"/>
  <c r="J60" i="5"/>
  <c r="K60" i="5" s="1"/>
  <c r="H60" i="5"/>
  <c r="I60" i="5" s="1"/>
  <c r="M60" i="5" s="1"/>
  <c r="K59" i="5"/>
  <c r="J59" i="5"/>
  <c r="H59" i="5"/>
  <c r="I59" i="5" s="1"/>
  <c r="M59" i="5" s="1"/>
  <c r="J58" i="5"/>
  <c r="K58" i="5" s="1"/>
  <c r="H58" i="5"/>
  <c r="I58" i="5" s="1"/>
  <c r="M58" i="5" s="1"/>
  <c r="K57" i="5"/>
  <c r="J57" i="5"/>
  <c r="I57" i="5"/>
  <c r="M57" i="5" s="1"/>
  <c r="H57" i="5"/>
  <c r="J56" i="5"/>
  <c r="K56" i="5" s="1"/>
  <c r="H56" i="5"/>
  <c r="I56" i="5" s="1"/>
  <c r="M56" i="5" s="1"/>
  <c r="M55" i="5"/>
  <c r="K55" i="5"/>
  <c r="J55" i="5"/>
  <c r="I55" i="5"/>
  <c r="H55" i="5"/>
  <c r="J54" i="5"/>
  <c r="K54" i="5" s="1"/>
  <c r="H54" i="5"/>
  <c r="I54" i="5" s="1"/>
  <c r="M54" i="5" s="1"/>
  <c r="J53" i="5"/>
  <c r="K53" i="5" s="1"/>
  <c r="I53" i="5"/>
  <c r="M53" i="5" s="1"/>
  <c r="H53" i="5"/>
  <c r="J52" i="5"/>
  <c r="K52" i="5" s="1"/>
  <c r="H52" i="5"/>
  <c r="I52" i="5" s="1"/>
  <c r="M52" i="5" s="1"/>
  <c r="J51" i="5"/>
  <c r="K51" i="5" s="1"/>
  <c r="H51" i="5"/>
  <c r="I51" i="5" s="1"/>
  <c r="M51" i="5" s="1"/>
  <c r="J50" i="5"/>
  <c r="K50" i="5" s="1"/>
  <c r="H50" i="5"/>
  <c r="I50" i="5" s="1"/>
  <c r="M50" i="5" s="1"/>
  <c r="J49" i="5"/>
  <c r="K49" i="5" s="1"/>
  <c r="H49" i="5"/>
  <c r="I49" i="5" s="1"/>
  <c r="M49" i="5" s="1"/>
  <c r="J48" i="5"/>
  <c r="K48" i="5" s="1"/>
  <c r="H48" i="5"/>
  <c r="I48" i="5" s="1"/>
  <c r="M48" i="5" s="1"/>
  <c r="K47" i="5"/>
  <c r="J47" i="5"/>
  <c r="H47" i="5"/>
  <c r="I47" i="5" s="1"/>
  <c r="M47" i="5" s="1"/>
  <c r="J46" i="5"/>
  <c r="K46" i="5" s="1"/>
  <c r="H46" i="5"/>
  <c r="I46" i="5" s="1"/>
  <c r="M46" i="5" s="1"/>
  <c r="K45" i="5"/>
  <c r="J45" i="5"/>
  <c r="I45" i="5"/>
  <c r="M45" i="5" s="1"/>
  <c r="H45" i="5"/>
  <c r="J44" i="5"/>
  <c r="K44" i="5" s="1"/>
  <c r="H44" i="5"/>
  <c r="I44" i="5" s="1"/>
  <c r="M44" i="5" s="1"/>
  <c r="M43" i="5"/>
  <c r="K43" i="5"/>
  <c r="J43" i="5"/>
  <c r="I43" i="5"/>
  <c r="H43" i="5"/>
  <c r="B63" i="1"/>
  <c r="B13" i="6"/>
  <c r="J16" i="5"/>
  <c r="D13" i="4" l="1"/>
  <c r="F15" i="4" s="1"/>
  <c r="G15" i="4" s="1"/>
  <c r="D14" i="4"/>
  <c r="D15" i="4"/>
  <c r="C17" i="1"/>
  <c r="E21" i="2" l="1"/>
  <c r="E33" i="2"/>
  <c r="E43" i="2"/>
  <c r="D26" i="2"/>
  <c r="D28" i="2"/>
  <c r="D34" i="2"/>
  <c r="D38" i="2"/>
  <c r="D40" i="2"/>
  <c r="D46" i="2"/>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B8" i="5"/>
  <c r="C8" i="5" s="1"/>
  <c r="C5" i="5"/>
  <c r="C4" i="5"/>
  <c r="L3" i="5"/>
  <c r="C1" i="5"/>
  <c r="B1" i="5"/>
  <c r="D62" i="4"/>
  <c r="C66" i="4" s="1"/>
  <c r="C62" i="4"/>
  <c r="D24" i="4"/>
  <c r="F34" i="1" s="1"/>
  <c r="D23" i="4"/>
  <c r="D22" i="4"/>
  <c r="I9" i="3" s="1"/>
  <c r="I28" i="3" s="1"/>
  <c r="D21" i="4"/>
  <c r="I8" i="3" s="1"/>
  <c r="I24" i="3" s="1"/>
  <c r="D20" i="4"/>
  <c r="I7" i="3" s="1"/>
  <c r="I20" i="3" s="1"/>
  <c r="D18" i="4"/>
  <c r="D17" i="4"/>
  <c r="D16" i="4"/>
  <c r="C28" i="3" s="1"/>
  <c r="L12" i="3"/>
  <c r="L11" i="3"/>
  <c r="L32" i="3" s="1"/>
  <c r="L10" i="3"/>
  <c r="L28" i="3" s="1"/>
  <c r="D12" i="4"/>
  <c r="L9" i="3" s="1"/>
  <c r="L24" i="3" s="1"/>
  <c r="D11" i="4"/>
  <c r="L8" i="3" s="1"/>
  <c r="D10" i="4"/>
  <c r="L7" i="3" s="1"/>
  <c r="L20" i="3" s="1"/>
  <c r="D9" i="4"/>
  <c r="F47" i="2"/>
  <c r="F46" i="2"/>
  <c r="G46" i="2" s="1"/>
  <c r="E46" i="2"/>
  <c r="F45" i="2"/>
  <c r="G45" i="2" s="1"/>
  <c r="E38" i="5"/>
  <c r="D45" i="2"/>
  <c r="F43" i="2"/>
  <c r="G43" i="2" s="1"/>
  <c r="F44" i="2"/>
  <c r="G44" i="2" s="1"/>
  <c r="E44" i="2"/>
  <c r="F41" i="2"/>
  <c r="G41" i="2" s="1"/>
  <c r="E41" i="2"/>
  <c r="F42" i="2"/>
  <c r="E42" i="2"/>
  <c r="F39" i="2"/>
  <c r="G39" i="2" s="1"/>
  <c r="E33" i="5"/>
  <c r="D39" i="2"/>
  <c r="F40" i="2"/>
  <c r="E40" i="2"/>
  <c r="F35" i="2"/>
  <c r="G35" i="2" s="1"/>
  <c r="E35" i="2"/>
  <c r="F26" i="2"/>
  <c r="G26" i="2" s="1"/>
  <c r="E30" i="5"/>
  <c r="F38" i="2"/>
  <c r="G38" i="2" s="1"/>
  <c r="E38" i="2"/>
  <c r="F34" i="2"/>
  <c r="G34" i="2" s="1"/>
  <c r="E34" i="2"/>
  <c r="F31" i="2"/>
  <c r="G31" i="2" s="1"/>
  <c r="F36" i="2"/>
  <c r="G36" i="2" s="1"/>
  <c r="F33" i="2"/>
  <c r="G33" i="2" s="1"/>
  <c r="F22" i="2"/>
  <c r="G22" i="2" s="1"/>
  <c r="E22" i="2"/>
  <c r="F37" i="2"/>
  <c r="G37" i="2" s="1"/>
  <c r="E23" i="5"/>
  <c r="D37" i="2"/>
  <c r="F32" i="2"/>
  <c r="G32" i="2" s="1"/>
  <c r="E32" i="2"/>
  <c r="F28" i="2"/>
  <c r="G28" i="2" s="1"/>
  <c r="E21" i="5"/>
  <c r="F21" i="2"/>
  <c r="G21" i="2" s="1"/>
  <c r="F29" i="2"/>
  <c r="G29" i="2" s="1"/>
  <c r="E29" i="2"/>
  <c r="H27" i="2"/>
  <c r="F27" i="2"/>
  <c r="G27" i="2" s="1"/>
  <c r="E18" i="5"/>
  <c r="D27" i="2"/>
  <c r="F30" i="2"/>
  <c r="G30" i="2" s="1"/>
  <c r="E30" i="2"/>
  <c r="F25" i="2"/>
  <c r="E25" i="2"/>
  <c r="F24" i="2"/>
  <c r="D24" i="2"/>
  <c r="F23" i="2"/>
  <c r="G23" i="2" s="1"/>
  <c r="E14" i="5"/>
  <c r="D23" i="2"/>
  <c r="F20" i="2"/>
  <c r="G20" i="2" s="1"/>
  <c r="E20" i="2"/>
  <c r="F19" i="2"/>
  <c r="G19" i="2" s="1"/>
  <c r="E19" i="2"/>
  <c r="C38" i="1"/>
  <c r="L37" i="1"/>
  <c r="I37" i="1"/>
  <c r="C37" i="1"/>
  <c r="C16" i="1"/>
  <c r="C14" i="1"/>
  <c r="C13" i="1"/>
  <c r="B21" i="5" l="1"/>
  <c r="F33" i="3"/>
  <c r="F16" i="3"/>
  <c r="C15" i="1" s="1"/>
  <c r="F37" i="1"/>
  <c r="H31" i="2"/>
  <c r="E31" i="2"/>
  <c r="E40" i="5"/>
  <c r="E47" i="2"/>
  <c r="E26" i="5"/>
  <c r="E36" i="2"/>
  <c r="D25" i="2"/>
  <c r="H37" i="2"/>
  <c r="H39" i="2"/>
  <c r="F35" i="1" s="1"/>
  <c r="F42" i="1" s="1"/>
  <c r="D19" i="2"/>
  <c r="D36" i="2"/>
  <c r="D47" i="2"/>
  <c r="D35" i="2"/>
  <c r="E28" i="2"/>
  <c r="D22" i="2"/>
  <c r="E39" i="2"/>
  <c r="E27" i="2"/>
  <c r="D33" i="2"/>
  <c r="D21" i="2"/>
  <c r="E26" i="2"/>
  <c r="H28" i="2"/>
  <c r="H26" i="2"/>
  <c r="D44" i="2"/>
  <c r="D32" i="2"/>
  <c r="D20" i="2"/>
  <c r="E37" i="2"/>
  <c r="D43" i="2"/>
  <c r="D31" i="2"/>
  <c r="D42" i="2"/>
  <c r="D30" i="2"/>
  <c r="E23" i="2"/>
  <c r="D41" i="2"/>
  <c r="D29" i="2"/>
  <c r="E45" i="2"/>
  <c r="I34" i="1"/>
  <c r="L34" i="1"/>
  <c r="D25" i="4"/>
  <c r="D26" i="4"/>
  <c r="I39" i="1"/>
  <c r="F39" i="1"/>
  <c r="C7" i="3"/>
  <c r="C12" i="1"/>
  <c r="L39" i="1"/>
  <c r="B23" i="5"/>
  <c r="C39" i="1"/>
  <c r="B36" i="5"/>
  <c r="B34" i="5"/>
  <c r="B33" i="5"/>
  <c r="C34" i="1"/>
  <c r="B24" i="5"/>
  <c r="B22" i="5"/>
  <c r="B32" i="5"/>
  <c r="B20" i="5"/>
  <c r="B31" i="5"/>
  <c r="B19" i="5"/>
  <c r="B30" i="5"/>
  <c r="B18" i="5"/>
  <c r="B12" i="5"/>
  <c r="B29" i="5"/>
  <c r="B17" i="5"/>
  <c r="B40" i="5"/>
  <c r="B28" i="5"/>
  <c r="B16" i="5"/>
  <c r="B39" i="5"/>
  <c r="B27" i="5"/>
  <c r="B15" i="5"/>
  <c r="B38" i="5"/>
  <c r="B26" i="5"/>
  <c r="B14" i="5"/>
  <c r="E21" i="3"/>
  <c r="B37" i="5"/>
  <c r="B25" i="5"/>
  <c r="B13" i="5"/>
  <c r="I38" i="1"/>
  <c r="E33" i="3"/>
  <c r="B35" i="5"/>
  <c r="C23" i="5"/>
  <c r="F38" i="1"/>
  <c r="F7" i="3"/>
  <c r="F29" i="3"/>
  <c r="C33" i="5"/>
  <c r="C21" i="5"/>
  <c r="L38" i="1"/>
  <c r="C18" i="5"/>
  <c r="E28" i="5"/>
  <c r="H34" i="2"/>
  <c r="L35" i="1" s="1"/>
  <c r="H22" i="2"/>
  <c r="E24" i="5"/>
  <c r="H42" i="2"/>
  <c r="E34" i="5"/>
  <c r="E31" i="5"/>
  <c r="H35" i="2"/>
  <c r="H33" i="2"/>
  <c r="E25" i="5"/>
  <c r="E35" i="5"/>
  <c r="H41" i="2"/>
  <c r="H21" i="2"/>
  <c r="E20" i="5"/>
  <c r="H19" i="2"/>
  <c r="E12" i="5"/>
  <c r="H32" i="2"/>
  <c r="I35" i="1" s="1"/>
  <c r="E22" i="5"/>
  <c r="H40" i="2"/>
  <c r="E32" i="5"/>
  <c r="H46" i="2"/>
  <c r="C35" i="1" s="1"/>
  <c r="E39" i="5"/>
  <c r="E19" i="5"/>
  <c r="H29" i="2"/>
  <c r="H38" i="2"/>
  <c r="E29" i="5"/>
  <c r="E16" i="5"/>
  <c r="H25" i="2"/>
  <c r="E36" i="5"/>
  <c r="H44" i="2"/>
  <c r="H20" i="2"/>
  <c r="E13" i="5"/>
  <c r="H30" i="2"/>
  <c r="E17" i="5"/>
  <c r="H43" i="2"/>
  <c r="E37" i="5"/>
  <c r="E25" i="3"/>
  <c r="H47" i="2"/>
  <c r="F25" i="3"/>
  <c r="E15" i="5"/>
  <c r="E27" i="5"/>
  <c r="H23" i="2"/>
  <c r="H36" i="2"/>
  <c r="H45" i="2"/>
  <c r="E29" i="3"/>
  <c r="F21" i="3"/>
  <c r="C25" i="1" l="1"/>
  <c r="L20" i="5" s="1"/>
  <c r="C26" i="1"/>
  <c r="L21" i="5" s="1"/>
  <c r="C27" i="5"/>
  <c r="C42" i="1"/>
  <c r="L42" i="1"/>
  <c r="I42" i="1"/>
  <c r="E24" i="2"/>
  <c r="C30" i="5"/>
  <c r="C22" i="1"/>
  <c r="L17" i="5" s="1"/>
  <c r="C39" i="5"/>
  <c r="D39" i="5" s="1"/>
  <c r="C24" i="5"/>
  <c r="D24" i="5" s="1"/>
  <c r="C31" i="5"/>
  <c r="D31" i="5" s="1"/>
  <c r="C32" i="5"/>
  <c r="D32" i="5" s="1"/>
  <c r="C36" i="5"/>
  <c r="D36" i="5" s="1"/>
  <c r="C25" i="5"/>
  <c r="D25" i="5" s="1"/>
  <c r="C38" i="5"/>
  <c r="D38" i="5" s="1"/>
  <c r="C40" i="5"/>
  <c r="D40" i="5" s="1"/>
  <c r="C13" i="5"/>
  <c r="D13" i="5" s="1"/>
  <c r="C28" i="5"/>
  <c r="D28" i="5" s="1"/>
  <c r="C17" i="5"/>
  <c r="D17" i="5" s="1"/>
  <c r="C29" i="5"/>
  <c r="D29" i="5" s="1"/>
  <c r="C12" i="5"/>
  <c r="D12" i="5" s="1"/>
  <c r="C14" i="5"/>
  <c r="D14" i="5" s="1"/>
  <c r="C22" i="5"/>
  <c r="D22" i="5" s="1"/>
  <c r="C16" i="5"/>
  <c r="D16" i="5" s="1"/>
  <c r="C37" i="5"/>
  <c r="D37" i="5" s="1"/>
  <c r="C26" i="5"/>
  <c r="D26" i="5" s="1"/>
  <c r="C19" i="5"/>
  <c r="D19" i="5" s="1"/>
  <c r="C34" i="5"/>
  <c r="D34" i="5" s="1"/>
  <c r="C35" i="5"/>
  <c r="D35" i="5" s="1"/>
  <c r="C20" i="5"/>
  <c r="D20" i="5" s="1"/>
  <c r="D18" i="5"/>
  <c r="D30" i="5"/>
  <c r="D21" i="5"/>
  <c r="D27" i="5"/>
  <c r="D23" i="5"/>
  <c r="D33" i="5"/>
  <c r="C23" i="1"/>
  <c r="L18" i="5" s="1"/>
  <c r="C24" i="1"/>
  <c r="L19" i="5" s="1"/>
  <c r="K17" i="5"/>
  <c r="H24" i="2" l="1"/>
  <c r="C15" i="5"/>
  <c r="D15" i="5" s="1"/>
  <c r="M17" i="5"/>
  <c r="K18" i="5"/>
  <c r="K19" i="5"/>
  <c r="K20" i="5"/>
  <c r="K21" i="5"/>
  <c r="N17" i="5" l="1"/>
  <c r="N18" i="5"/>
  <c r="M18" i="5"/>
  <c r="N19" i="5"/>
  <c r="M19" i="5"/>
  <c r="N21" i="5"/>
  <c r="M21" i="5"/>
  <c r="N20" i="5"/>
  <c r="M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1" authorId="0" shapeId="0" xr:uid="{00000000-0006-0000-0300-000001000000}">
      <text>
        <r>
          <rPr>
            <sz val="12"/>
            <color theme="1"/>
            <rFont val="Arial"/>
            <family val="2"/>
            <scheme val="minor"/>
          </rPr>
          <t>Scotia doesn't advertise a high ratio 5 yr and their 5yr fixed is significantly higher.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400-000001000000}">
      <text>
        <r>
          <rPr>
            <sz val="12"/>
            <color theme="1"/>
            <rFont val="Arial"/>
            <family val="2"/>
            <scheme val="minor"/>
          </rPr>
          <t>Range of 0 to 7657
======</t>
        </r>
      </text>
    </comment>
    <comment ref="B5" authorId="0" shapeId="0" xr:uid="{00000000-0006-0000-0400-000002000000}">
      <text>
        <r>
          <rPr>
            <sz val="12"/>
            <color theme="1"/>
            <rFont val="Arial"/>
            <family val="2"/>
            <scheme val="minor"/>
          </rPr>
          <t>919 per year for max of 10 years.
max is 9190
======</t>
        </r>
      </text>
    </comment>
    <comment ref="B6" authorId="0" shapeId="0" xr:uid="{00000000-0006-0000-0400-000003000000}">
      <text>
        <r>
          <rPr>
            <sz val="12"/>
            <color theme="1"/>
            <rFont val="Arial"/>
            <family val="2"/>
            <scheme val="minor"/>
          </rPr>
          <t>Bachelor 1429
Masters 2859
PHD 4288
======</t>
        </r>
      </text>
    </comment>
    <comment ref="C6" authorId="0" shapeId="0" xr:uid="{00000000-0006-0000-0400-000004000000}">
      <text>
        <r>
          <rPr>
            <sz val="12"/>
            <color theme="1"/>
            <rFont val="Arial"/>
            <family val="2"/>
            <scheme val="minor"/>
          </rPr>
          <t>0 for no degree
Bachelor
Masters 
Doctorate
======</t>
        </r>
      </text>
    </comment>
    <comment ref="B7" authorId="0" shapeId="0" xr:uid="{00000000-0006-0000-0400-000005000000}">
      <text>
        <r>
          <rPr>
            <sz val="12"/>
            <color theme="1"/>
            <rFont val="Arial"/>
            <family val="2"/>
            <scheme val="minor"/>
          </rPr>
          <t>0-100       $1000
100-200  $3165
200-400   $6330
400-800  $9495
800-1200 $12660
1200+    $15826
======</t>
        </r>
      </text>
    </comment>
    <comment ref="M43" authorId="0" shapeId="0" xr:uid="{00000000-0006-0000-0100-000001000000}">
      <text>
        <r>
          <rPr>
            <sz val="12"/>
            <color theme="1"/>
            <rFont val="Arial"/>
            <family val="2"/>
            <scheme val="minor"/>
          </rPr>
          <t>Added a rule that no adjustment would lower what they received last year.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0D148EF-9835-44AF-BDD4-B00C3CA447BC}" keepAlive="1" name="Query - 2024 Rates" description="Connection to the '2024 Rates' query in the workbook." type="5" refreshedVersion="8" background="1" saveData="1">
    <dbPr connection="Provider=Microsoft.Mashup.OleDb.1;Data Source=$Workbook$;Location=&quot;2024 Rates&quot;;Extended Properties=&quot;&quot;" command="SELECT * FROM [2024 Rates]"/>
  </connection>
</connections>
</file>

<file path=xl/sharedStrings.xml><?xml version="1.0" encoding="utf-8"?>
<sst xmlns="http://schemas.openxmlformats.org/spreadsheetml/2006/main" count="394" uniqueCount="290">
  <si>
    <t>FEB CENTRAL</t>
  </si>
  <si>
    <t xml:space="preserve">LEAD PASTOR and ASSOCIATE STAFF SALARY GUIDE       </t>
  </si>
  <si>
    <t>Salary Summary</t>
  </si>
  <si>
    <t>published October 2025</t>
  </si>
  <si>
    <t>Please use the following Salary Recommendations as a Guideline for determining an appropriate Salary.</t>
  </si>
  <si>
    <t>The Calculation starts with a Base Amount and then considers geography, experience, track record and other factors.</t>
  </si>
  <si>
    <r>
      <t xml:space="preserve">Use the Tabs below to access the </t>
    </r>
    <r>
      <rPr>
        <b/>
        <sz val="11"/>
        <color rgb="FF000000"/>
        <rFont val="Arial"/>
        <family val="2"/>
        <scheme val="minor"/>
      </rPr>
      <t>Housing Adjustment Sheet</t>
    </r>
    <r>
      <rPr>
        <sz val="11"/>
        <color rgb="FF000000"/>
        <rFont val="Arial"/>
        <family val="2"/>
        <scheme val="minor"/>
      </rPr>
      <t xml:space="preserve"> as well as </t>
    </r>
    <r>
      <rPr>
        <b/>
        <sz val="11"/>
        <color rgb="FF000000"/>
        <rFont val="Arial"/>
        <family val="2"/>
        <scheme val="minor"/>
      </rPr>
      <t>Track Record, Experience, Education and Size</t>
    </r>
    <r>
      <rPr>
        <sz val="11"/>
        <color rgb="FF000000"/>
        <rFont val="Arial"/>
        <family val="2"/>
        <scheme val="minor"/>
      </rPr>
      <t xml:space="preserve"> Sheet.</t>
    </r>
  </si>
  <si>
    <t>Enter the variables on Tabs 2 &amp; 3 in the YELLOW highlighted boxes which will link to the GRAY and BLUE highlighted boxes below.</t>
  </si>
  <si>
    <t>Salary Calculation:</t>
  </si>
  <si>
    <t>Recommended Benefits (in addition to salary)</t>
  </si>
  <si>
    <t>Base Amount</t>
  </si>
  <si>
    <t>RRSP: Church Contributes 5% of Salary</t>
  </si>
  <si>
    <t>Housing Adjustment (see Tab 2 below)</t>
  </si>
  <si>
    <t>Health: Church Covers Fellowship Health Plan</t>
  </si>
  <si>
    <t>Track Record/Merit Adjustment (see Tab 3 below)</t>
  </si>
  <si>
    <t>Personal Development: Associate Ministry Staff - 2%-3% of salary</t>
  </si>
  <si>
    <t>Experience Adjustment (see Tab 3 below)</t>
  </si>
  <si>
    <t xml:space="preserve">                                           Lead Pastors - 3%-4% of salary</t>
  </si>
  <si>
    <t>Education Adjustment (see Tab 3 below)</t>
  </si>
  <si>
    <t xml:space="preserve">                (includes items like conferences, books, higher education, subscriptions)</t>
  </si>
  <si>
    <t>Church Size Adjustment (see Tab 3 below)</t>
  </si>
  <si>
    <t>Holidays: 3-5 weeks annually</t>
  </si>
  <si>
    <t>Study Leave: One week annually</t>
  </si>
  <si>
    <t>Moving Allowance: One time moving costs covered</t>
  </si>
  <si>
    <t>Lead</t>
  </si>
  <si>
    <t>Categories of Ministry Staff</t>
  </si>
  <si>
    <t>Senior Associate</t>
  </si>
  <si>
    <t>The salary guide has 5 categories: Lead Pastor, Senior Associate, Middle Associate, Junior Associate, and Pre-Associate.</t>
  </si>
  <si>
    <t>Middle Associate</t>
  </si>
  <si>
    <t>Each church will need to decide which category best matches a Staff member's level of responsibilty. The guidelines below offer assistance:</t>
  </si>
  <si>
    <t>Junior Associate</t>
  </si>
  <si>
    <t>Category Guidelines:</t>
  </si>
  <si>
    <t xml:space="preserve"> </t>
  </si>
  <si>
    <t>Pre-Associate</t>
  </si>
  <si>
    <r>
      <t>Lead Pastor</t>
    </r>
    <r>
      <rPr>
        <sz val="11"/>
        <color rgb="FF000000"/>
        <rFont val="Arial"/>
        <family val="2"/>
        <scheme val="minor"/>
      </rPr>
      <t xml:space="preserve"> - The Lead role in a church or site and is often called the Lead Pastor, Senior Pastor, Site Pastor, or simply Pastor.</t>
    </r>
  </si>
  <si>
    <t>+ Recommended Benefits</t>
  </si>
  <si>
    <r>
      <t xml:space="preserve">Senior Associate - </t>
    </r>
    <r>
      <rPr>
        <sz val="11"/>
        <color rgb="FF000000"/>
        <rFont val="Arial"/>
        <family val="2"/>
        <scheme val="minor"/>
      </rPr>
      <t>This typically is the Primary Associate to the Lead Pastor. Often the majority of the church staff report to this person.</t>
    </r>
  </si>
  <si>
    <r>
      <t xml:space="preserve">Middle Associate - </t>
    </r>
    <r>
      <rPr>
        <sz val="11"/>
        <color rgb="FF000000"/>
        <rFont val="Arial"/>
        <family val="2"/>
        <scheme val="minor"/>
      </rPr>
      <t xml:space="preserve">The Associate role with an above average level of responsibility. </t>
    </r>
    <r>
      <rPr>
        <sz val="11"/>
        <color rgb="FFFF0000"/>
        <rFont val="Arial"/>
        <family val="2"/>
        <scheme val="minor"/>
      </rPr>
      <t xml:space="preserve"> </t>
    </r>
    <r>
      <rPr>
        <sz val="11"/>
        <color rgb="FF000000"/>
        <rFont val="Arial"/>
        <family val="2"/>
        <scheme val="minor"/>
      </rPr>
      <t>Typically a Middle Associate supervises 1-3 staff and/or a large number of volunteers.</t>
    </r>
  </si>
  <si>
    <r>
      <t>Junior Associate -</t>
    </r>
    <r>
      <rPr>
        <sz val="11"/>
        <color rgb="FF000000"/>
        <rFont val="Arial"/>
        <family val="2"/>
        <scheme val="minor"/>
      </rPr>
      <t xml:space="preserve"> An Associate role with an average level of responsibilty. </t>
    </r>
  </si>
  <si>
    <r>
      <t xml:space="preserve">Pre-Associate - </t>
    </r>
    <r>
      <rPr>
        <sz val="11"/>
        <color rgb="FF000000"/>
        <rFont val="Arial"/>
        <family val="2"/>
        <scheme val="minor"/>
      </rPr>
      <t>An entry-level ministry role. For example, a church may have a high capacity volunteer who was hired as ministry staff because of their strong abilities. They will likely need to move up to Junior Associate or Middle Associate as their gifts develop and their responsibilities increase.</t>
    </r>
  </si>
  <si>
    <t>Example 1 - Lead Pastor, Church of 90 in Mississauga</t>
  </si>
  <si>
    <t>Example 2 - Youth Pastor, Church of 350 in Guelph</t>
  </si>
  <si>
    <t>Example 3 - Discipleship Pastor, Church of 250 in London</t>
  </si>
  <si>
    <t>Example 4 - Executive Pastor, Church of 750 in Ottawa</t>
  </si>
  <si>
    <t>Base Amount:</t>
  </si>
  <si>
    <t>Housing Adjustment: Mississauga</t>
  </si>
  <si>
    <t>Housing Adjustment: Guelph</t>
  </si>
  <si>
    <t>Housing Adjustment: London</t>
  </si>
  <si>
    <t>Housing Adjustment: Ottawa</t>
  </si>
  <si>
    <t>Track Record and Merit:</t>
  </si>
  <si>
    <t>Experience: 5 years</t>
  </si>
  <si>
    <t>Experience: 4 years</t>
  </si>
  <si>
    <t>Experience: 10 years</t>
  </si>
  <si>
    <t>Experience: 20 years</t>
  </si>
  <si>
    <t>Education: Bachelors</t>
  </si>
  <si>
    <t>Education: Masters</t>
  </si>
  <si>
    <t>Education: Doctorate</t>
  </si>
  <si>
    <t>Church Size: 0-100</t>
  </si>
  <si>
    <t>Church Size: 200-400</t>
  </si>
  <si>
    <t>Church Size: 400-800</t>
  </si>
  <si>
    <t>Level: Lead Pastor</t>
  </si>
  <si>
    <t>Level: Junior Associate</t>
  </si>
  <si>
    <t>Level: Middle Associate</t>
  </si>
  <si>
    <t>Level: Senior Associate</t>
  </si>
  <si>
    <t>Example 1 Total:</t>
  </si>
  <si>
    <t>Example 2 Total:</t>
  </si>
  <si>
    <t>Example 3 Total:</t>
  </si>
  <si>
    <t>Example 4 Total:</t>
  </si>
  <si>
    <t>Annual Raises and Reviews:</t>
  </si>
  <si>
    <t>Staff should be reviewed annually based on a job description and previously agreed-upon annual goals.</t>
  </si>
  <si>
    <t>Raises should consider both cost of living and merit increases.</t>
  </si>
  <si>
    <t>Some staff salaries may be lower than the salary guide suggests, warranting a larger-than-normal one-time increase.</t>
  </si>
  <si>
    <t>For temporary situations that may warrant compensation consideration, if a staff member is required to take on more responsibility than normal, it may be advisable to consider a year-end (or monthly) bonus for the individual rather than a salary adjustment. Temporary situations for such consideration might include covering a staff vacancy or responding/preparing for a season of change or rapid growth.</t>
  </si>
  <si>
    <t>For blended roles (e.g. youth/worship) that are typically longer term expectations, the overall level of responsibility should be considered for salary grid placement.</t>
  </si>
  <si>
    <t>The Impact of Rising Housing Costs:</t>
  </si>
  <si>
    <t>Housing prices have increased substantially in the past decade, with price increases of 50-100% in many communities.</t>
  </si>
  <si>
    <t>As a result many churches will need to consider increasing their salary budget to enable a staff member to afford housing.</t>
  </si>
  <si>
    <t>For some churches the suggested salary above will seem higher than expected, in part due to increased housing costs.</t>
  </si>
  <si>
    <t>This salary guide considers the impact of housing costs on Tab 2 below: "Housing Adjustment."</t>
  </si>
  <si>
    <t>Other Notes:</t>
  </si>
  <si>
    <t>Paying staff adequately is biblical (see 1 Tim. 5:17-18) and encourages long-term ministry.</t>
  </si>
  <si>
    <t>This worksheet is intended as a guideline rather than a rule.</t>
  </si>
  <si>
    <t>Please contact FEB Central if you have further questions. Your feedback is welcome.</t>
  </si>
  <si>
    <t xml:space="preserve">FEB CENTRAL                </t>
  </si>
  <si>
    <t>LEAD PASTOR and ASSOCIATE STAFF SALARY GUIDE</t>
  </si>
  <si>
    <t>Housing Adjustment, Selected Communities</t>
  </si>
  <si>
    <t>Based on an average 3br Townhouse or House up to 1800 sq ft</t>
  </si>
  <si>
    <r>
      <rPr>
        <u/>
        <sz val="11"/>
        <color rgb="FF000000"/>
        <rFont val="Arial"/>
        <family val="2"/>
        <scheme val="minor"/>
      </rPr>
      <t xml:space="preserve">July 2025 Estimates on an average of Jan-June Sold prices as listed on </t>
    </r>
    <r>
      <rPr>
        <u/>
        <sz val="11"/>
        <color rgb="FF1155CC"/>
        <rFont val="Arial"/>
        <family val="2"/>
        <scheme val="minor"/>
      </rPr>
      <t>Zoocasa.ca</t>
    </r>
  </si>
  <si>
    <t>To determine the housing adjustment, locate the city closest to your location.</t>
  </si>
  <si>
    <t>Some communities may need to review zoocasa.ca to determine their housing adjustment.</t>
  </si>
  <si>
    <t>Enter Amount Here:</t>
  </si>
  <si>
    <t>Community</t>
  </si>
  <si>
    <t>2024 Avg. House Price</t>
  </si>
  <si>
    <t>2025 Avg. House Price</t>
  </si>
  <si>
    <t>Monthly</t>
  </si>
  <si>
    <t>Annual</t>
  </si>
  <si>
    <t>2025 Adjustment</t>
  </si>
  <si>
    <t>rounded up to 25,000</t>
  </si>
  <si>
    <t>Housing Costs</t>
  </si>
  <si>
    <t>Sault Ste. Marie</t>
  </si>
  <si>
    <t>Belleville</t>
  </si>
  <si>
    <t>Windsor</t>
  </si>
  <si>
    <t>Markdale</t>
  </si>
  <si>
    <t>Goderich</t>
  </si>
  <si>
    <t>Orillia</t>
  </si>
  <si>
    <t>Strathroy</t>
  </si>
  <si>
    <t>Huntsville</t>
  </si>
  <si>
    <t>St Catharines</t>
  </si>
  <si>
    <t>Montreal</t>
  </si>
  <si>
    <t>Lindsay</t>
  </si>
  <si>
    <t>Woodstock</t>
  </si>
  <si>
    <t>Brantford</t>
  </si>
  <si>
    <t>London</t>
  </si>
  <si>
    <t>Hamilton</t>
  </si>
  <si>
    <t>Ottawa</t>
  </si>
  <si>
    <t>Fergus</t>
  </si>
  <si>
    <t>Cambridge &amp; KW</t>
  </si>
  <si>
    <t>Paris</t>
  </si>
  <si>
    <t>Barrie</t>
  </si>
  <si>
    <t>Guelph</t>
  </si>
  <si>
    <t>Oshawa</t>
  </si>
  <si>
    <t>Ajax</t>
  </si>
  <si>
    <t>Whitby</t>
  </si>
  <si>
    <t>Toronto Etobicoke</t>
  </si>
  <si>
    <t>Burlington</t>
  </si>
  <si>
    <t>Toronto Scarborough</t>
  </si>
  <si>
    <t>Mississauga</t>
  </si>
  <si>
    <t>Oakville</t>
  </si>
  <si>
    <t>Notes</t>
  </si>
  <si>
    <t>a) Housing Costs are based on an average 3-bedroom townhouse or house</t>
  </si>
  <si>
    <t>b) Monthly Carrying Costs are based approximately on 10% down, 4.40% mortgage rate, 25 year amortization plus utilities ($400) and taxes ($425)</t>
  </si>
  <si>
    <t>c) All amounts are estimates based on a survey of listings on zoocasa.ca. You can consult this site for the latest prices in your area.</t>
  </si>
  <si>
    <t>d) Actual amounts for suitable homes will vary.</t>
  </si>
  <si>
    <t>e) Please contact FEB Central if you think the estimates are not accurate for your area.</t>
  </si>
  <si>
    <t xml:space="preserve">LEAD PASTOR and ASSOCIATE STAFF SALARY GUIDE                         </t>
  </si>
  <si>
    <t>Track Record, Experience, Education, and Size Adjustments</t>
  </si>
  <si>
    <t>Track Record &amp; Merit</t>
  </si>
  <si>
    <t>Experience</t>
  </si>
  <si>
    <t>Education (theological)</t>
  </si>
  <si>
    <t>Church Size</t>
  </si>
  <si>
    <t>Sliding Scale                 0 to</t>
  </si>
  <si>
    <t>Years 0-10                       per year</t>
  </si>
  <si>
    <t>Bachelors</t>
  </si>
  <si>
    <t>0-100</t>
  </si>
  <si>
    <t>Masters</t>
  </si>
  <si>
    <t>100-200</t>
  </si>
  <si>
    <t xml:space="preserve">Track Record and Merit amount should be assigned on </t>
  </si>
  <si>
    <t>Doctorate</t>
  </si>
  <si>
    <t>200-400</t>
  </si>
  <si>
    <t>a scale based on past ministry effectiveness and skills.</t>
  </si>
  <si>
    <t>No Adjustment after year 10</t>
  </si>
  <si>
    <t>None</t>
  </si>
  <si>
    <t>400-800</t>
  </si>
  <si>
    <t>800-1200</t>
  </si>
  <si>
    <t>1200+</t>
  </si>
  <si>
    <t>TRACK RECORD ADJUSTMENT</t>
  </si>
  <si>
    <t>EXPERIENCE ADJUSTMENT</t>
  </si>
  <si>
    <t>EDUCATION ADJUSTMENT</t>
  </si>
  <si>
    <t>SIZE ADJUSTMENT</t>
  </si>
  <si>
    <t>Enter Years Here:</t>
  </si>
  <si>
    <t>Adjustment Amount Here:</t>
  </si>
  <si>
    <t>Example 1</t>
  </si>
  <si>
    <t>Track Record &amp; Merit: Average</t>
  </si>
  <si>
    <t>Experience:     5 yrs                5X</t>
  </si>
  <si>
    <t>Example 2</t>
  </si>
  <si>
    <t>Track Record &amp; Merit: Good</t>
  </si>
  <si>
    <t>Experience:   4 yrs                   4X</t>
  </si>
  <si>
    <t>Example 3</t>
  </si>
  <si>
    <t>Track Record &amp; Merit: Excellent</t>
  </si>
  <si>
    <t>Experience:  10 yrs              10X</t>
  </si>
  <si>
    <t xml:space="preserve">Education: Doctorate </t>
  </si>
  <si>
    <t>Example 4</t>
  </si>
  <si>
    <t>Track Record &amp; Merit: New guy with no experience</t>
  </si>
  <si>
    <t>Experience: 20 yrs capped at 10X</t>
  </si>
  <si>
    <t>Education: none</t>
  </si>
  <si>
    <t>Church Size: 800-1200</t>
  </si>
  <si>
    <t xml:space="preserve">      -no completed theological degree</t>
  </si>
  <si>
    <r>
      <t xml:space="preserve">Note: </t>
    </r>
    <r>
      <rPr>
        <i/>
        <sz val="11"/>
        <color theme="1"/>
        <rFont val="Arial"/>
        <family val="2"/>
      </rPr>
      <t>The merit adjustment gives churches the opportunity to reward</t>
    </r>
  </si>
  <si>
    <t>quality work. A church may want to start a staff member</t>
  </si>
  <si>
    <t>somwhere in the middle of the range (thus giving them credit</t>
  </si>
  <si>
    <t>for past merit) and move them up in the range after</t>
  </si>
  <si>
    <t xml:space="preserve">a strong year and/or for added responsibilty. </t>
  </si>
  <si>
    <t>Notes for 2026</t>
  </si>
  <si>
    <t xml:space="preserve"> The Salary Guide Team's Purpose Statement is: </t>
  </si>
  <si>
    <t>We appreciate your prayers in fulfilling this purpose.</t>
  </si>
  <si>
    <t>We have clarified the comments regarding categories of Ministry Staff, to help churches determine where to place their associate staff.</t>
  </si>
  <si>
    <t>We used a 1.7% COLA (Cost of Living Adjustment) as a general guideline for base salary and adjustment increases, based on August 2025 Statistics Canada Ontario CPI data.</t>
  </si>
  <si>
    <t>We adjusted the salary calculations for Lead Pastors in churches of 1200+ to reflect the level of responsibliity in their roles.</t>
  </si>
  <si>
    <t xml:space="preserve">           </t>
  </si>
  <si>
    <t>We adjusted the salary calculations for Pre-Associates and Jr Associates in churches of 400+ to reflect the level of responsibility in their roles.</t>
  </si>
  <si>
    <t>We have added a tab called "Living Wage" to offer assistance for churches in considering a starting wage for administrative staff.</t>
  </si>
  <si>
    <t>This guide was completed by a Salary Guide team made up of leaders from across FEB Central.</t>
  </si>
  <si>
    <t>We welcome your questions and input. We review suggestions and consider them for updates to future editions of the salary guide.</t>
  </si>
  <si>
    <t>Adminstrative Compensation</t>
  </si>
  <si>
    <t>Column1</t>
  </si>
  <si>
    <t>Column2</t>
  </si>
  <si>
    <t>Column3</t>
  </si>
  <si>
    <t>Column4</t>
  </si>
  <si>
    <t>Annual with 40 hour week</t>
  </si>
  <si>
    <t>Greater Toronto Area</t>
  </si>
  <si>
    <t>East</t>
  </si>
  <si>
    <t>Dufferin Guelph Wellington Waterloo</t>
  </si>
  <si>
    <t>Brant Haldimand Norfolk Niagara</t>
  </si>
  <si>
    <t>North</t>
  </si>
  <si>
    <t>Southwest</t>
  </si>
  <si>
    <t>London Elgin Oxford</t>
  </si>
  <si>
    <t>What region is my church located in?</t>
  </si>
  <si>
    <t>Living Wage Ontario map</t>
  </si>
  <si>
    <t>Updates November of each year</t>
  </si>
  <si>
    <t>The Living Wage suggests a starting hourly wage that could be used by churches as they consider wages for administrative staff.</t>
  </si>
  <si>
    <t>The Living Wage does not take into account level of responsiblity, tenure and education.</t>
  </si>
  <si>
    <t>Assumptions:</t>
  </si>
  <si>
    <t>CPI Ontario as of August 2025</t>
  </si>
  <si>
    <t>CPI extended to Track record, Experience, Education and Housing Adjustment as well as Base</t>
  </si>
  <si>
    <t>Formula in housing adjustment column  prevents an individuals adjustment being less than it was last year.</t>
  </si>
  <si>
    <t>The benchmark for housing is now the 2023 figure for each region or city</t>
  </si>
  <si>
    <t>Ranking the cities is no longer necessary since we are using the 2023 property figure for a region as our base going forward</t>
  </si>
  <si>
    <t>Last year</t>
  </si>
  <si>
    <t>This year</t>
  </si>
  <si>
    <t>CPI</t>
  </si>
  <si>
    <t>Track Record/Merit</t>
  </si>
  <si>
    <t>Education</t>
  </si>
  <si>
    <t>2-3% for Associate Ministry staff for personal development</t>
  </si>
  <si>
    <t>no degree</t>
  </si>
  <si>
    <t>3-4% for Lead Pastor for personal Development</t>
  </si>
  <si>
    <t>(inlucdes items like conferences, books, higher education, subscriptions)</t>
  </si>
  <si>
    <t>Housing Adjustment Factor</t>
  </si>
  <si>
    <t>Base</t>
  </si>
  <si>
    <t>Base 1200+ for Leads</t>
  </si>
  <si>
    <t>Base 1200+ for Jr Associates</t>
  </si>
  <si>
    <t>Base 1200+ for Pre-Associates</t>
  </si>
  <si>
    <t>Lead &amp; Associate Levels</t>
  </si>
  <si>
    <t>1200+ Church Leads</t>
  </si>
  <si>
    <t>1200+ Junior Associate</t>
  </si>
  <si>
    <t>Lower</t>
  </si>
  <si>
    <t>1200+ Pre-Associate</t>
  </si>
  <si>
    <t>Experience Years (for dropdown)</t>
  </si>
  <si>
    <t>This is for data validation and doesn't need to be adjusted year to year</t>
  </si>
  <si>
    <t>Validation is for cell F15 on tab 2</t>
  </si>
  <si>
    <t>More than 10</t>
  </si>
  <si>
    <t>Big bank current rates</t>
  </si>
  <si>
    <t>Mortgage rates 5yr fixed high ratio</t>
  </si>
  <si>
    <t>This Year</t>
  </si>
  <si>
    <t>RBC</t>
  </si>
  <si>
    <t>BMO</t>
  </si>
  <si>
    <t>TD</t>
  </si>
  <si>
    <t>CIBC</t>
  </si>
  <si>
    <t>Scotia</t>
  </si>
  <si>
    <t>Average</t>
  </si>
  <si>
    <t>Housing variables</t>
  </si>
  <si>
    <t>Principle</t>
  </si>
  <si>
    <t>Interest</t>
  </si>
  <si>
    <t>Amortization period</t>
  </si>
  <si>
    <t>Utilities per month</t>
  </si>
  <si>
    <t>Property Tax per month</t>
  </si>
  <si>
    <t>COLA</t>
  </si>
  <si>
    <t>Confirmed COLA based on Aug ON CPI from Stats Can</t>
  </si>
  <si>
    <t>Role</t>
  </si>
  <si>
    <t>2025 &amp; 2024</t>
  </si>
  <si>
    <t>Lead Pastor</t>
  </si>
  <si>
    <t>Track Record</t>
  </si>
  <si>
    <t>Don't adjust (are adjusted each year for inflation)</t>
  </si>
  <si>
    <t>Note that another year of experience would add over 1%. Don't adjust (are adjusted each year for inflation)</t>
  </si>
  <si>
    <t>Hover over cells for instructions</t>
  </si>
  <si>
    <t>Size</t>
  </si>
  <si>
    <t>Pre Associate</t>
  </si>
  <si>
    <t>Base amount</t>
  </si>
  <si>
    <t>Increase</t>
  </si>
  <si>
    <t>Large Church Adjustments</t>
  </si>
  <si>
    <t>No Adjustment</t>
  </si>
  <si>
    <t>With Adjustment</t>
  </si>
  <si>
    <t>Difference</t>
  </si>
  <si>
    <t>% dif</t>
  </si>
  <si>
    <r>
      <rPr>
        <b/>
        <sz val="11"/>
        <rFont val="Arial"/>
        <family val="2"/>
      </rPr>
      <t xml:space="preserve">Selling prices researched through </t>
    </r>
    <r>
      <rPr>
        <b/>
        <u/>
        <sz val="11"/>
        <color rgb="FF1155CC"/>
        <rFont val="Arial"/>
        <family val="2"/>
      </rPr>
      <t>Zoocasa.ca</t>
    </r>
  </si>
  <si>
    <t>Rounding to $25,000</t>
  </si>
  <si>
    <t>House Carrying Costs</t>
  </si>
  <si>
    <t>2024 Adj House Price</t>
  </si>
  <si>
    <t>2025 Adj House Price</t>
  </si>
  <si>
    <t>2024 Adjustment</t>
  </si>
  <si>
    <t>2025 Adjust</t>
  </si>
  <si>
    <t>Median</t>
  </si>
  <si>
    <t>Notes:</t>
  </si>
  <si>
    <r>
      <rPr>
        <b/>
        <sz val="12"/>
        <color rgb="FF000000"/>
        <rFont val="Calibri"/>
        <family val="2"/>
      </rPr>
      <t>Housing costs:</t>
    </r>
    <r>
      <rPr>
        <sz val="12"/>
        <color rgb="FF000000"/>
        <rFont val="Calibri"/>
        <family val="2"/>
      </rPr>
      <t xml:space="preserve">  Used Zoocasa filtering for 3bdrm or more. Homes, up to 1800 sq ft, less than $1 million selling price (Toronto and area less than $1.25 mil), sold since Jan 1st 2025.  Typically was able to average 20 most recently sold homes.</t>
    </r>
  </si>
  <si>
    <r>
      <rPr>
        <b/>
        <sz val="12"/>
        <color theme="1"/>
        <rFont val="Calibri"/>
        <family val="2"/>
      </rPr>
      <t>Mortgage costs:</t>
    </r>
    <r>
      <rPr>
        <sz val="12"/>
        <color theme="1"/>
        <rFont val="Calibri"/>
        <family val="2"/>
      </rPr>
      <t xml:space="preserve">  Used 4 big banks, 5 yr fixed, high ratio</t>
    </r>
  </si>
  <si>
    <r>
      <rPr>
        <b/>
        <sz val="12"/>
        <color theme="1"/>
        <rFont val="Calibri"/>
        <family val="2"/>
      </rPr>
      <t>Carrying Costs</t>
    </r>
    <r>
      <rPr>
        <sz val="12"/>
        <color theme="1"/>
        <rFont val="Calibri"/>
        <family val="2"/>
      </rPr>
      <t>: Include Mortgage, Utilities and Property Taxes</t>
    </r>
  </si>
  <si>
    <t>Column5</t>
  </si>
  <si>
    <t>Living wage region</t>
  </si>
  <si>
    <t>$ change</t>
  </si>
  <si>
    <t>% change</t>
  </si>
  <si>
    <t>Bruce Grey Huron Perth Simcoe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</si>
</sst>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4" formatCode="_-&quot;$&quot;* #,##0.00_-;\-&quot;$&quot;* #,##0.00_-;_-&quot;$&quot;* &quot;-&quot;??_-;_-@_-"/>
    <numFmt numFmtId="164" formatCode="_(&quot;$&quot;* #,##0.00_);_(&quot;$&quot;* \(#,##0.00\);_(&quot;$&quot;* &quot;-&quot;??_);_(@_)"/>
    <numFmt numFmtId="165" formatCode="_-&quot;$&quot;* #,##0_-;\-&quot;$&quot;* #,##0_-;_-&quot;$&quot;* &quot;-&quot;??_-;_-@"/>
    <numFmt numFmtId="166" formatCode="_(&quot;$&quot;* #,##0_);_(&quot;$&quot;* \(#,##0\);_(&quot;$&quot;* &quot;-&quot;??_);_(@_)"/>
    <numFmt numFmtId="167" formatCode="_(&quot;$&quot;* #,##0.0_);_(&quot;$&quot;* \(#,##0.0\);_(&quot;$&quot;* &quot;-&quot;?_);_(@_)"/>
    <numFmt numFmtId="168" formatCode="&quot;$&quot;#,##0"/>
    <numFmt numFmtId="169" formatCode="#,##0;\(#,##0\)"/>
    <numFmt numFmtId="170" formatCode="&quot;$&quot;#,##0.00"/>
    <numFmt numFmtId="171" formatCode="0.000%"/>
    <numFmt numFmtId="172" formatCode="#,##0.000"/>
    <numFmt numFmtId="173" formatCode="_-&quot;$&quot;* #,##0_-;\-&quot;$&quot;* #,##0_-;_-&quot;$&quot;* &quot;-&quot;??_-;_-@_-"/>
    <numFmt numFmtId="174" formatCode="&quot;$&quot;#,##0;[Red]&quot;$&quot;#,##0"/>
    <numFmt numFmtId="175" formatCode="0.0%"/>
  </numFmts>
  <fonts count="68">
    <font>
      <sz val="12"/>
      <color theme="1"/>
      <name val="Arial"/>
      <scheme val="minor"/>
    </font>
    <font>
      <sz val="11"/>
      <color theme="1"/>
      <name val="Arial"/>
      <family val="2"/>
      <scheme val="minor"/>
    </font>
    <font>
      <sz val="11"/>
      <color theme="1"/>
      <name val="Arial"/>
      <family val="2"/>
      <scheme val="minor"/>
    </font>
    <font>
      <sz val="11"/>
      <color theme="1"/>
      <name val="Arial"/>
      <family val="2"/>
      <scheme val="minor"/>
    </font>
    <font>
      <b/>
      <sz val="22"/>
      <color theme="1"/>
      <name val="Arial"/>
      <family val="2"/>
    </font>
    <font>
      <sz val="12"/>
      <color theme="1"/>
      <name val="Calibri"/>
      <family val="2"/>
    </font>
    <font>
      <b/>
      <sz val="22"/>
      <color rgb="FFFF0000"/>
      <name val="Arial"/>
      <family val="2"/>
    </font>
    <font>
      <i/>
      <sz val="12"/>
      <color theme="1"/>
      <name val="Calibri"/>
      <family val="2"/>
    </font>
    <font>
      <b/>
      <sz val="18"/>
      <color theme="1"/>
      <name val="Calibri"/>
      <family val="2"/>
    </font>
    <font>
      <b/>
      <sz val="12"/>
      <color theme="1"/>
      <name val="Calibri"/>
      <family val="2"/>
    </font>
    <font>
      <b/>
      <i/>
      <sz val="12"/>
      <color theme="1"/>
      <name val="Calibri"/>
      <family val="2"/>
    </font>
    <font>
      <b/>
      <i/>
      <sz val="12"/>
      <color rgb="FF000000"/>
      <name val="Calibri"/>
      <family val="2"/>
    </font>
    <font>
      <sz val="12"/>
      <color rgb="FF000000"/>
      <name val="Calibri"/>
      <family val="2"/>
    </font>
    <font>
      <sz val="12"/>
      <color rgb="FF313131"/>
      <name val="Calibri"/>
      <family val="2"/>
    </font>
    <font>
      <sz val="12"/>
      <color theme="1"/>
      <name val="Arial"/>
      <family val="2"/>
    </font>
    <font>
      <b/>
      <sz val="14"/>
      <color theme="1"/>
      <name val="Calibri"/>
      <family val="2"/>
    </font>
    <font>
      <b/>
      <sz val="12"/>
      <color theme="1"/>
      <name val="Arial"/>
      <family val="2"/>
    </font>
    <font>
      <i/>
      <sz val="10"/>
      <color theme="1"/>
      <name val="Calibri"/>
      <family val="2"/>
    </font>
    <font>
      <sz val="12"/>
      <color rgb="FFFF0000"/>
      <name val="Calibri"/>
      <family val="2"/>
    </font>
    <font>
      <u/>
      <sz val="12"/>
      <color rgb="FF0000FF"/>
      <name val="Calibri"/>
      <family val="2"/>
    </font>
    <font>
      <sz val="12"/>
      <color theme="1"/>
      <name val="Arial"/>
      <family val="2"/>
      <scheme val="minor"/>
    </font>
    <font>
      <u/>
      <sz val="12"/>
      <color rgb="FF0000FF"/>
      <name val="Arial"/>
      <family val="2"/>
    </font>
    <font>
      <sz val="12"/>
      <color theme="1"/>
      <name val="Arial"/>
      <family val="2"/>
      <scheme val="minor"/>
    </font>
    <font>
      <sz val="8"/>
      <name val="Arial"/>
      <family val="2"/>
      <scheme val="minor"/>
    </font>
    <font>
      <u/>
      <sz val="12"/>
      <color theme="10"/>
      <name val="Arial"/>
      <family val="2"/>
      <scheme val="minor"/>
    </font>
    <font>
      <sz val="12"/>
      <color theme="1"/>
      <name val="Calibri"/>
      <family val="2"/>
    </font>
    <font>
      <i/>
      <sz val="11"/>
      <color rgb="FF000000"/>
      <name val="Droid Serif"/>
      <family val="1"/>
      <charset val="1"/>
    </font>
    <font>
      <sz val="11"/>
      <color rgb="FFFF0000"/>
      <name val="Arial"/>
      <family val="2"/>
      <scheme val="minor"/>
    </font>
    <font>
      <b/>
      <sz val="11"/>
      <color theme="1"/>
      <name val="Arial"/>
      <family val="2"/>
      <scheme val="minor"/>
    </font>
    <font>
      <b/>
      <sz val="12"/>
      <color theme="1"/>
      <name val="Arial"/>
      <family val="2"/>
      <scheme val="minor"/>
    </font>
    <font>
      <b/>
      <sz val="13.5"/>
      <color theme="1"/>
      <name val="Arial"/>
      <family val="2"/>
      <scheme val="minor"/>
    </font>
    <font>
      <sz val="10"/>
      <color theme="1"/>
      <name val="Arial Unicode MS"/>
    </font>
    <font>
      <b/>
      <sz val="10"/>
      <color theme="1"/>
      <name val="Arial Unicode MS"/>
    </font>
    <font>
      <b/>
      <sz val="11"/>
      <color theme="1"/>
      <name val="Arial"/>
      <family val="2"/>
    </font>
    <font>
      <u/>
      <sz val="11"/>
      <color theme="10"/>
      <name val="Arial"/>
      <family val="2"/>
      <scheme val="minor"/>
    </font>
    <font>
      <sz val="11"/>
      <color rgb="FF000000"/>
      <name val="Arial"/>
      <family val="2"/>
      <scheme val="minor"/>
    </font>
    <font>
      <i/>
      <sz val="11"/>
      <color theme="1"/>
      <name val="Arial"/>
      <family val="2"/>
      <scheme val="minor"/>
    </font>
    <font>
      <sz val="11"/>
      <name val="Arial"/>
      <family val="2"/>
      <scheme val="minor"/>
    </font>
    <font>
      <b/>
      <sz val="16"/>
      <color theme="1"/>
      <name val="Arial"/>
      <family val="2"/>
    </font>
    <font>
      <sz val="11"/>
      <color theme="1"/>
      <name val="Arial"/>
      <family val="2"/>
    </font>
    <font>
      <b/>
      <i/>
      <u/>
      <sz val="11"/>
      <color theme="1"/>
      <name val="Arial"/>
      <family val="2"/>
    </font>
    <font>
      <b/>
      <u/>
      <sz val="11"/>
      <color theme="1"/>
      <name val="Arial"/>
      <family val="2"/>
    </font>
    <font>
      <i/>
      <sz val="11"/>
      <color theme="1"/>
      <name val="Arial"/>
      <family val="2"/>
    </font>
    <font>
      <b/>
      <i/>
      <sz val="11"/>
      <color theme="1"/>
      <name val="Arial"/>
      <family val="2"/>
    </font>
    <font>
      <b/>
      <sz val="11"/>
      <color theme="1"/>
      <name val="Calibri"/>
      <family val="2"/>
    </font>
    <font>
      <u/>
      <sz val="11"/>
      <color theme="1"/>
      <name val="Arial"/>
      <family val="2"/>
      <scheme val="minor"/>
    </font>
    <font>
      <u/>
      <sz val="11"/>
      <color rgb="FF000000"/>
      <name val="Arial"/>
      <family val="2"/>
      <scheme val="minor"/>
    </font>
    <font>
      <u/>
      <sz val="11"/>
      <color rgb="FF1155CC"/>
      <name val="Arial"/>
      <family val="2"/>
      <scheme val="minor"/>
    </font>
    <font>
      <b/>
      <i/>
      <sz val="11"/>
      <color theme="1"/>
      <name val="Arial"/>
      <family val="2"/>
      <scheme val="minor"/>
    </font>
    <font>
      <b/>
      <sz val="11"/>
      <color rgb="FFFF0000"/>
      <name val="Arial"/>
      <family val="2"/>
      <scheme val="minor"/>
    </font>
    <font>
      <b/>
      <sz val="11"/>
      <color rgb="FF000000"/>
      <name val="Arial"/>
      <family val="2"/>
      <scheme val="minor"/>
    </font>
    <font>
      <b/>
      <i/>
      <sz val="11"/>
      <color rgb="FF000000"/>
      <name val="Arial"/>
      <family val="2"/>
      <scheme val="minor"/>
    </font>
    <font>
      <sz val="12"/>
      <color theme="1"/>
      <name val="Arial"/>
      <family val="2"/>
      <scheme val="major"/>
    </font>
    <font>
      <b/>
      <i/>
      <sz val="12"/>
      <color theme="1"/>
      <name val="Arial"/>
      <family val="2"/>
      <scheme val="major"/>
    </font>
    <font>
      <b/>
      <sz val="12"/>
      <color theme="1"/>
      <name val="Arial"/>
      <family val="2"/>
      <scheme val="major"/>
    </font>
    <font>
      <i/>
      <sz val="11"/>
      <color rgb="FFFF0000"/>
      <name val="Arial"/>
      <family val="2"/>
      <scheme val="minor"/>
    </font>
    <font>
      <sz val="11"/>
      <color rgb="FF313131"/>
      <name val="Arial"/>
      <family val="2"/>
      <scheme val="minor"/>
    </font>
    <font>
      <i/>
      <sz val="11"/>
      <color rgb="FF000000"/>
      <name val="Arial"/>
      <family val="2"/>
      <scheme val="minor"/>
    </font>
    <font>
      <sz val="11"/>
      <color theme="1"/>
      <name val="Arial"/>
      <family val="2"/>
      <scheme val="minor"/>
    </font>
    <font>
      <b/>
      <u/>
      <sz val="11"/>
      <color rgb="FF0000FF"/>
      <name val="Arial"/>
      <family val="2"/>
    </font>
    <font>
      <b/>
      <sz val="11"/>
      <name val="Arial"/>
      <family val="2"/>
    </font>
    <font>
      <b/>
      <u/>
      <sz val="11"/>
      <color rgb="FF1155CC"/>
      <name val="Arial"/>
      <family val="2"/>
    </font>
    <font>
      <i/>
      <sz val="11"/>
      <color theme="1"/>
      <name val="Calibri"/>
      <family val="2"/>
    </font>
    <font>
      <sz val="11"/>
      <name val="Arial"/>
      <family val="2"/>
    </font>
    <font>
      <sz val="11"/>
      <color rgb="FF000000"/>
      <name val="Arial"/>
      <family val="2"/>
    </font>
    <font>
      <b/>
      <sz val="12"/>
      <color rgb="FF000000"/>
      <name val="Calibri"/>
      <family val="2"/>
    </font>
    <font>
      <sz val="12"/>
      <color rgb="FF000000"/>
      <name val="Calibri"/>
      <family val="2"/>
    </font>
    <font>
      <b/>
      <sz val="12"/>
      <color theme="9"/>
      <name val="Arial"/>
      <family val="2"/>
      <scheme val="minor"/>
    </font>
  </fonts>
  <fills count="15">
    <fill>
      <patternFill patternType="none"/>
    </fill>
    <fill>
      <patternFill patternType="gray125"/>
    </fill>
    <fill>
      <patternFill patternType="solid">
        <fgColor rgb="FFB8CCE4"/>
        <bgColor rgb="FFB8CCE4"/>
      </patternFill>
    </fill>
    <fill>
      <patternFill patternType="solid">
        <fgColor rgb="FFFBD4B4"/>
        <bgColor rgb="FFFBD4B4"/>
      </patternFill>
    </fill>
    <fill>
      <patternFill patternType="solid">
        <fgColor rgb="FFD8D8D8"/>
        <bgColor rgb="FFD8D8D8"/>
      </patternFill>
    </fill>
    <fill>
      <patternFill patternType="solid">
        <fgColor rgb="FFEBF1DE"/>
        <bgColor rgb="FFEBF1DE"/>
      </patternFill>
    </fill>
    <fill>
      <patternFill patternType="solid">
        <fgColor rgb="FFFFFFFF"/>
        <bgColor rgb="FFFFFFFF"/>
      </patternFill>
    </fill>
    <fill>
      <patternFill patternType="solid">
        <fgColor rgb="FFFEFFB4"/>
        <bgColor rgb="FFFEFFB4"/>
      </patternFill>
    </fill>
    <fill>
      <patternFill patternType="solid">
        <fgColor rgb="FF00FF00"/>
        <bgColor rgb="FF00FF00"/>
      </patternFill>
    </fill>
    <fill>
      <patternFill patternType="solid">
        <fgColor rgb="FFF3F3F3"/>
        <bgColor rgb="FFF3F3F3"/>
      </patternFill>
    </fill>
    <fill>
      <patternFill patternType="solid">
        <fgColor rgb="FFFFF2CC"/>
        <bgColor rgb="FFFFF2CC"/>
      </patternFill>
    </fill>
    <fill>
      <patternFill patternType="solid">
        <fgColor rgb="FFFFFF00"/>
        <bgColor rgb="FFFFFF00"/>
      </patternFill>
    </fill>
    <fill>
      <patternFill patternType="solid">
        <fgColor rgb="FFFF0000"/>
        <bgColor indexed="64"/>
      </patternFill>
    </fill>
    <fill>
      <patternFill patternType="solid">
        <fgColor theme="9"/>
        <bgColor theme="9"/>
      </patternFill>
    </fill>
    <fill>
      <patternFill patternType="solid">
        <fgColor theme="9" tint="0.79998168889431442"/>
        <bgColor theme="9" tint="0.79998168889431442"/>
      </patternFill>
    </fill>
  </fills>
  <borders count="19">
    <border>
      <left/>
      <right/>
      <top/>
      <bottom/>
      <diagonal/>
    </border>
    <border>
      <left/>
      <right/>
      <top/>
      <bottom/>
      <diagonal/>
    </border>
    <border>
      <left/>
      <right/>
      <top/>
      <bottom style="thin">
        <color rgb="FFD4D4D4"/>
      </bottom>
      <diagonal/>
    </border>
    <border>
      <left/>
      <right/>
      <top style="thin">
        <color rgb="FFD4D4D4"/>
      </top>
      <bottom style="thin">
        <color rgb="FFD4D4D4"/>
      </bottom>
      <diagonal/>
    </border>
    <border>
      <left style="thin">
        <color rgb="FFD4D4D4"/>
      </left>
      <right/>
      <top/>
      <bottom/>
      <diagonal/>
    </border>
    <border>
      <left/>
      <right style="thin">
        <color rgb="FFD4D4D4"/>
      </right>
      <top/>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theme="1"/>
      </left>
      <right/>
      <top style="medium">
        <color theme="1"/>
      </top>
      <bottom style="thin">
        <color rgb="FFD4D4D4"/>
      </bottom>
      <diagonal/>
    </border>
    <border>
      <left style="medium">
        <color theme="1"/>
      </left>
      <right/>
      <top style="thin">
        <color rgb="FFD4D4D4"/>
      </top>
      <bottom style="thin">
        <color rgb="FFD4D4D4"/>
      </bottom>
      <diagonal/>
    </border>
    <border>
      <left style="medium">
        <color theme="1"/>
      </left>
      <right style="medium">
        <color theme="1"/>
      </right>
      <top style="thin">
        <color rgb="FFD4D4D4"/>
      </top>
      <bottom style="thin">
        <color rgb="FFD4D4D4"/>
      </bottom>
      <diagonal/>
    </border>
    <border>
      <left/>
      <right/>
      <top/>
      <bottom style="medium">
        <color theme="1"/>
      </bottom>
      <diagonal/>
    </border>
    <border>
      <left style="medium">
        <color theme="1"/>
      </left>
      <right style="medium">
        <color theme="1"/>
      </right>
      <top style="medium">
        <color theme="1"/>
      </top>
      <bottom style="thin">
        <color rgb="FFD4D4D4"/>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bottom style="thin">
        <color rgb="FFD4D4D4"/>
      </bottom>
      <diagonal/>
    </border>
    <border>
      <left style="thin">
        <color rgb="FF000000"/>
      </left>
      <right style="thin">
        <color rgb="FF000000"/>
      </right>
      <top style="thin">
        <color rgb="FF000000"/>
      </top>
      <bottom style="thin">
        <color rgb="FF000000"/>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4">
    <xf numFmtId="0" fontId="0" fillId="0" borderId="0"/>
    <xf numFmtId="44" fontId="22" fillId="0" borderId="0" applyFont="0" applyFill="0" applyBorder="0" applyAlignment="0" applyProtection="0"/>
    <xf numFmtId="9" fontId="22" fillId="0" borderId="0" applyFont="0" applyFill="0" applyBorder="0" applyAlignment="0" applyProtection="0"/>
    <xf numFmtId="0" fontId="24" fillId="0" borderId="0" applyNumberFormat="0" applyFill="0" applyBorder="0" applyAlignment="0" applyProtection="0"/>
  </cellStyleXfs>
  <cellXfs count="214">
    <xf numFmtId="0" fontId="0" fillId="0" borderId="0" xfId="0"/>
    <xf numFmtId="0" fontId="4" fillId="2" borderId="1" xfId="0" applyFont="1" applyFill="1" applyBorder="1" applyAlignment="1">
      <alignment vertical="center"/>
    </xf>
    <xf numFmtId="0" fontId="5" fillId="0" borderId="0" xfId="0" applyFont="1"/>
    <xf numFmtId="0" fontId="9" fillId="0" borderId="0" xfId="0" applyFont="1"/>
    <xf numFmtId="0" fontId="11" fillId="2" borderId="6" xfId="0" applyFont="1" applyFill="1" applyBorder="1" applyAlignment="1">
      <alignment horizontal="right"/>
    </xf>
    <xf numFmtId="0" fontId="10" fillId="2" borderId="6" xfId="0" applyFont="1" applyFill="1" applyBorder="1" applyAlignment="1">
      <alignment horizontal="right"/>
    </xf>
    <xf numFmtId="165" fontId="5" fillId="0" borderId="0" xfId="0" applyNumberFormat="1" applyFont="1"/>
    <xf numFmtId="0" fontId="14" fillId="0" borderId="0" xfId="0" applyFont="1"/>
    <xf numFmtId="0" fontId="15" fillId="0" borderId="0" xfId="0" applyFont="1" applyAlignment="1">
      <alignment horizontal="center"/>
    </xf>
    <xf numFmtId="0" fontId="9" fillId="0" borderId="0" xfId="0" applyFont="1" applyAlignment="1">
      <alignment horizontal="right"/>
    </xf>
    <xf numFmtId="0" fontId="9" fillId="0" borderId="0" xfId="0" applyFont="1" applyAlignment="1">
      <alignment horizontal="center"/>
    </xf>
    <xf numFmtId="0" fontId="16" fillId="0" borderId="0" xfId="0" applyFont="1"/>
    <xf numFmtId="165" fontId="17" fillId="0" borderId="0" xfId="0" applyNumberFormat="1" applyFont="1"/>
    <xf numFmtId="10" fontId="5" fillId="0" borderId="0" xfId="0" applyNumberFormat="1" applyFont="1"/>
    <xf numFmtId="0" fontId="16" fillId="0" borderId="0" xfId="0" applyFont="1" applyAlignment="1">
      <alignment horizontal="center"/>
    </xf>
    <xf numFmtId="0" fontId="9" fillId="0" borderId="12" xfId="0" applyFont="1" applyBorder="1" applyAlignment="1">
      <alignment horizontal="right"/>
    </xf>
    <xf numFmtId="165" fontId="5" fillId="8" borderId="0" xfId="0" applyNumberFormat="1" applyFont="1" applyFill="1"/>
    <xf numFmtId="166" fontId="5" fillId="0" borderId="10" xfId="0" applyNumberFormat="1" applyFont="1" applyBorder="1"/>
    <xf numFmtId="0" fontId="18" fillId="0" borderId="0" xfId="0" applyFont="1"/>
    <xf numFmtId="0" fontId="4" fillId="7" borderId="1" xfId="0" applyFont="1" applyFill="1" applyBorder="1" applyAlignment="1">
      <alignment horizontal="left"/>
    </xf>
    <xf numFmtId="0" fontId="4" fillId="7" borderId="1" xfId="0" applyFont="1" applyFill="1" applyBorder="1" applyAlignment="1">
      <alignment horizontal="left" vertical="top"/>
    </xf>
    <xf numFmtId="0" fontId="19" fillId="0" borderId="0" xfId="0" applyFont="1"/>
    <xf numFmtId="0" fontId="9" fillId="0" borderId="15" xfId="0" applyFont="1" applyBorder="1"/>
    <xf numFmtId="9" fontId="5" fillId="0" borderId="15" xfId="0" applyNumberFormat="1" applyFont="1" applyBorder="1"/>
    <xf numFmtId="165" fontId="5" fillId="0" borderId="15" xfId="0" applyNumberFormat="1" applyFont="1" applyBorder="1"/>
    <xf numFmtId="0" fontId="5" fillId="0" borderId="15" xfId="0" applyFont="1" applyBorder="1"/>
    <xf numFmtId="0" fontId="20" fillId="0" borderId="0" xfId="0" applyFont="1"/>
    <xf numFmtId="0" fontId="12" fillId="0" borderId="15" xfId="0" applyFont="1" applyBorder="1" applyAlignment="1">
      <alignment horizontal="right"/>
    </xf>
    <xf numFmtId="9" fontId="5" fillId="0" borderId="15" xfId="0" applyNumberFormat="1" applyFont="1" applyBorder="1" applyAlignment="1">
      <alignment horizontal="right"/>
    </xf>
    <xf numFmtId="0" fontId="5" fillId="0" borderId="15" xfId="0" applyFont="1" applyBorder="1" applyAlignment="1">
      <alignment horizontal="right"/>
    </xf>
    <xf numFmtId="0" fontId="21" fillId="0" borderId="0" xfId="0" applyFont="1"/>
    <xf numFmtId="0" fontId="16" fillId="0" borderId="15" xfId="0" applyFont="1" applyBorder="1"/>
    <xf numFmtId="0" fontId="16" fillId="0" borderId="15" xfId="0" applyFont="1" applyBorder="1" applyAlignment="1">
      <alignment horizontal="center"/>
    </xf>
    <xf numFmtId="10" fontId="16" fillId="0" borderId="15" xfId="0" applyNumberFormat="1" applyFont="1" applyBorder="1"/>
    <xf numFmtId="0" fontId="16" fillId="0" borderId="0" xfId="0" applyFont="1" applyAlignment="1">
      <alignment horizontal="right"/>
    </xf>
    <xf numFmtId="0" fontId="16" fillId="0" borderId="0" xfId="0" applyFont="1" applyAlignment="1">
      <alignment horizontal="center" vertical="top"/>
    </xf>
    <xf numFmtId="173" fontId="0" fillId="0" borderId="0" xfId="1" applyNumberFormat="1" applyFont="1"/>
    <xf numFmtId="173" fontId="0" fillId="0" borderId="0" xfId="0" applyNumberFormat="1"/>
    <xf numFmtId="44" fontId="0" fillId="0" borderId="0" xfId="0" applyNumberFormat="1"/>
    <xf numFmtId="9" fontId="0" fillId="0" borderId="0" xfId="2" applyFont="1"/>
    <xf numFmtId="0" fontId="20" fillId="0" borderId="0" xfId="0" applyFont="1" applyAlignment="1">
      <alignment horizontal="center"/>
    </xf>
    <xf numFmtId="44" fontId="5" fillId="0" borderId="15" xfId="1" applyFont="1" applyBorder="1" applyAlignment="1">
      <alignment horizontal="right"/>
    </xf>
    <xf numFmtId="9" fontId="5" fillId="0" borderId="15" xfId="2" applyFont="1" applyBorder="1" applyAlignment="1">
      <alignment horizontal="right"/>
    </xf>
    <xf numFmtId="0" fontId="0" fillId="12" borderId="0" xfId="0" applyFill="1"/>
    <xf numFmtId="165" fontId="0" fillId="0" borderId="0" xfId="0" applyNumberFormat="1"/>
    <xf numFmtId="174" fontId="0" fillId="0" borderId="0" xfId="0" applyNumberFormat="1"/>
    <xf numFmtId="0" fontId="9" fillId="8" borderId="0" xfId="0" applyFont="1" applyFill="1" applyAlignment="1">
      <alignment horizontal="center"/>
    </xf>
    <xf numFmtId="169" fontId="14" fillId="8" borderId="0" xfId="0" applyNumberFormat="1" applyFont="1" applyFill="1"/>
    <xf numFmtId="165" fontId="14" fillId="0" borderId="0" xfId="0" applyNumberFormat="1" applyFont="1"/>
    <xf numFmtId="170" fontId="5" fillId="0" borderId="0" xfId="0" applyNumberFormat="1" applyFont="1"/>
    <xf numFmtId="0" fontId="9" fillId="0" borderId="15" xfId="0" applyFont="1" applyBorder="1" applyAlignment="1">
      <alignment horizontal="center"/>
    </xf>
    <xf numFmtId="171" fontId="5" fillId="0" borderId="15" xfId="0" applyNumberFormat="1" applyFont="1" applyBorder="1"/>
    <xf numFmtId="172" fontId="5" fillId="0" borderId="15" xfId="0" applyNumberFormat="1" applyFont="1" applyBorder="1"/>
    <xf numFmtId="0" fontId="14" fillId="0" borderId="15" xfId="0" applyFont="1" applyBorder="1"/>
    <xf numFmtId="0" fontId="14" fillId="11" borderId="0" xfId="0" applyFont="1" applyFill="1"/>
    <xf numFmtId="0" fontId="21" fillId="0" borderId="15" xfId="0" applyFont="1" applyBorder="1"/>
    <xf numFmtId="9" fontId="14" fillId="0" borderId="15" xfId="0" applyNumberFormat="1" applyFont="1" applyBorder="1"/>
    <xf numFmtId="10" fontId="14" fillId="0" borderId="15" xfId="0" applyNumberFormat="1" applyFont="1" applyBorder="1"/>
    <xf numFmtId="170" fontId="14" fillId="0" borderId="15" xfId="0" applyNumberFormat="1" applyFont="1" applyBorder="1"/>
    <xf numFmtId="171" fontId="14" fillId="0" borderId="0" xfId="0" applyNumberFormat="1" applyFont="1"/>
    <xf numFmtId="172" fontId="14" fillId="0" borderId="0" xfId="0" applyNumberFormat="1" applyFont="1"/>
    <xf numFmtId="10" fontId="14" fillId="0" borderId="0" xfId="0" applyNumberFormat="1" applyFont="1"/>
    <xf numFmtId="9" fontId="14" fillId="0" borderId="0" xfId="0" applyNumberFormat="1" applyFont="1"/>
    <xf numFmtId="9" fontId="14" fillId="0" borderId="0" xfId="0" applyNumberFormat="1" applyFont="1" applyAlignment="1">
      <alignment horizontal="center"/>
    </xf>
    <xf numFmtId="168" fontId="14" fillId="0" borderId="0" xfId="0" applyNumberFormat="1" applyFont="1"/>
    <xf numFmtId="173" fontId="14" fillId="0" borderId="0" xfId="1" applyNumberFormat="1" applyFont="1"/>
    <xf numFmtId="0" fontId="24" fillId="0" borderId="0" xfId="3"/>
    <xf numFmtId="0" fontId="25" fillId="0" borderId="0" xfId="0" applyFont="1"/>
    <xf numFmtId="9" fontId="0" fillId="0" borderId="0" xfId="0" applyNumberFormat="1"/>
    <xf numFmtId="0" fontId="26" fillId="0" borderId="0" xfId="0" applyFont="1"/>
    <xf numFmtId="0" fontId="0" fillId="0" borderId="0" xfId="0" applyAlignment="1">
      <alignment vertical="center"/>
    </xf>
    <xf numFmtId="0" fontId="30"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0" fillId="0" borderId="0" xfId="0" applyAlignment="1">
      <alignment horizontal="left" vertical="center" indent="1"/>
    </xf>
    <xf numFmtId="0" fontId="29" fillId="0" borderId="0" xfId="0" applyFont="1" applyAlignment="1">
      <alignment horizontal="left" vertical="center" indent="1"/>
    </xf>
    <xf numFmtId="0" fontId="31" fillId="0" borderId="0" xfId="0" applyFont="1" applyAlignment="1">
      <alignment horizontal="left" vertical="center" indent="1"/>
    </xf>
    <xf numFmtId="0" fontId="20" fillId="0" borderId="0" xfId="0" applyFont="1" applyAlignment="1">
      <alignment horizontal="left" vertical="center" indent="1"/>
    </xf>
    <xf numFmtId="0" fontId="3" fillId="0" borderId="0" xfId="0" applyFont="1"/>
    <xf numFmtId="0" fontId="34" fillId="0" borderId="0" xfId="3" applyFont="1"/>
    <xf numFmtId="0" fontId="35" fillId="0" borderId="0" xfId="0" applyFont="1"/>
    <xf numFmtId="0" fontId="37" fillId="0" borderId="0" xfId="0" applyFont="1"/>
    <xf numFmtId="0" fontId="38" fillId="0" borderId="0" xfId="0" applyFont="1"/>
    <xf numFmtId="0" fontId="33" fillId="0" borderId="0" xfId="0" applyFont="1"/>
    <xf numFmtId="0" fontId="39" fillId="0" borderId="2" xfId="0" applyFont="1" applyBorder="1"/>
    <xf numFmtId="0" fontId="39" fillId="0" borderId="0" xfId="0" applyFont="1"/>
    <xf numFmtId="9" fontId="39" fillId="0" borderId="0" xfId="0" applyNumberFormat="1" applyFont="1"/>
    <xf numFmtId="165" fontId="39" fillId="0" borderId="0" xfId="0" applyNumberFormat="1" applyFont="1"/>
    <xf numFmtId="165" fontId="39" fillId="0" borderId="0" xfId="0" applyNumberFormat="1" applyFont="1" applyAlignment="1">
      <alignment horizontal="right"/>
    </xf>
    <xf numFmtId="0" fontId="33" fillId="0" borderId="0" xfId="0" applyFont="1" applyAlignment="1">
      <alignment vertical="center"/>
    </xf>
    <xf numFmtId="0" fontId="39" fillId="0" borderId="0" xfId="0" applyFont="1" applyAlignment="1">
      <alignment horizontal="right"/>
    </xf>
    <xf numFmtId="0" fontId="39" fillId="0" borderId="0" xfId="0" applyFont="1" applyAlignment="1">
      <alignment vertical="center"/>
    </xf>
    <xf numFmtId="0" fontId="42" fillId="0" borderId="0" xfId="0" applyFont="1"/>
    <xf numFmtId="0" fontId="43" fillId="0" borderId="0" xfId="0" applyFont="1"/>
    <xf numFmtId="0" fontId="48" fillId="7" borderId="0" xfId="0" applyFont="1" applyFill="1" applyAlignment="1">
      <alignment vertical="center"/>
    </xf>
    <xf numFmtId="0" fontId="49" fillId="0" borderId="0" xfId="0" applyFont="1" applyAlignment="1">
      <alignment horizontal="center"/>
    </xf>
    <xf numFmtId="0" fontId="28" fillId="0" borderId="0" xfId="0" applyFont="1" applyAlignment="1">
      <alignment horizontal="center"/>
    </xf>
    <xf numFmtId="0" fontId="28" fillId="8" borderId="8" xfId="0" applyFont="1" applyFill="1" applyBorder="1" applyAlignment="1">
      <alignment horizontal="right"/>
    </xf>
    <xf numFmtId="0" fontId="36" fillId="0" borderId="0" xfId="0" applyFont="1" applyAlignment="1">
      <alignment horizontal="center"/>
    </xf>
    <xf numFmtId="0" fontId="50" fillId="0" borderId="0" xfId="0" applyFont="1"/>
    <xf numFmtId="0" fontId="50" fillId="0" borderId="0" xfId="0" applyFont="1" applyAlignment="1">
      <alignment vertical="center"/>
    </xf>
    <xf numFmtId="0" fontId="5" fillId="2" borderId="1" xfId="0" applyFont="1" applyFill="1" applyBorder="1" applyAlignment="1">
      <alignment vertical="center"/>
    </xf>
    <xf numFmtId="0" fontId="6" fillId="2" borderId="1" xfId="0" applyFont="1" applyFill="1" applyBorder="1" applyAlignment="1">
      <alignment horizontal="right" vertical="center"/>
    </xf>
    <xf numFmtId="0" fontId="7" fillId="2" borderId="1" xfId="0" applyFont="1" applyFill="1" applyBorder="1" applyAlignment="1">
      <alignment vertical="center"/>
    </xf>
    <xf numFmtId="0" fontId="5" fillId="0" borderId="0" xfId="0" applyFont="1" applyAlignment="1">
      <alignment vertical="center"/>
    </xf>
    <xf numFmtId="0" fontId="3" fillId="0" borderId="0" xfId="0" applyFont="1" applyAlignment="1">
      <alignment vertical="center"/>
    </xf>
    <xf numFmtId="0" fontId="28" fillId="0" borderId="1" xfId="0" applyFont="1" applyBorder="1" applyAlignment="1">
      <alignment vertical="center"/>
    </xf>
    <xf numFmtId="0" fontId="28" fillId="3" borderId="1" xfId="0" applyFont="1" applyFill="1" applyBorder="1" applyAlignment="1">
      <alignment horizontal="left" vertical="center"/>
    </xf>
    <xf numFmtId="0" fontId="36" fillId="3" borderId="1" xfId="0" applyFont="1" applyFill="1" applyBorder="1" applyAlignment="1">
      <alignment horizontal="left" vertical="center"/>
    </xf>
    <xf numFmtId="0" fontId="48" fillId="0" borderId="1" xfId="0" applyFont="1" applyBorder="1" applyAlignment="1">
      <alignment horizontal="right" vertical="center"/>
    </xf>
    <xf numFmtId="165" fontId="50" fillId="2" borderId="1" xfId="0" applyNumberFormat="1" applyFont="1" applyFill="1" applyBorder="1" applyAlignment="1" applyProtection="1">
      <alignment vertical="center"/>
      <protection hidden="1"/>
    </xf>
    <xf numFmtId="165" fontId="28" fillId="2" borderId="1" xfId="0" applyNumberFormat="1" applyFont="1" applyFill="1" applyBorder="1" applyAlignment="1" applyProtection="1">
      <alignment vertical="center"/>
      <protection hidden="1"/>
    </xf>
    <xf numFmtId="0" fontId="36" fillId="3" borderId="1" xfId="0" quotePrefix="1" applyFont="1" applyFill="1" applyBorder="1" applyAlignment="1">
      <alignment vertical="center"/>
    </xf>
    <xf numFmtId="0" fontId="36" fillId="0" borderId="0" xfId="0" applyFont="1" applyAlignment="1">
      <alignment vertical="center"/>
    </xf>
    <xf numFmtId="165" fontId="35" fillId="0" borderId="0" xfId="0" applyNumberFormat="1" applyFont="1" applyAlignment="1">
      <alignment vertical="center"/>
    </xf>
    <xf numFmtId="0" fontId="35" fillId="0" borderId="0" xfId="0" applyFont="1" applyAlignment="1">
      <alignment vertical="center"/>
    </xf>
    <xf numFmtId="0" fontId="56" fillId="6" borderId="0" xfId="0" applyFont="1" applyFill="1" applyAlignment="1">
      <alignment vertical="center"/>
    </xf>
    <xf numFmtId="0" fontId="57" fillId="0" borderId="0" xfId="0" applyFont="1" applyAlignment="1">
      <alignment vertical="center"/>
    </xf>
    <xf numFmtId="0" fontId="12" fillId="0" borderId="0" xfId="0" applyFont="1" applyAlignment="1">
      <alignment vertical="center"/>
    </xf>
    <xf numFmtId="0" fontId="4" fillId="2" borderId="1" xfId="0" applyFont="1" applyFill="1" applyBorder="1" applyAlignment="1">
      <alignment horizontal="left" vertical="center"/>
    </xf>
    <xf numFmtId="0" fontId="44" fillId="0" borderId="0" xfId="0" applyFont="1" applyAlignment="1">
      <alignment horizontal="center" vertical="center"/>
    </xf>
    <xf numFmtId="0" fontId="45" fillId="0" borderId="0" xfId="0" applyFont="1" applyAlignment="1">
      <alignment vertical="center"/>
    </xf>
    <xf numFmtId="0" fontId="28" fillId="0" borderId="0" xfId="0" applyFont="1" applyAlignment="1">
      <alignment horizontal="left"/>
    </xf>
    <xf numFmtId="0" fontId="28" fillId="0" borderId="0" xfId="0" applyFont="1" applyAlignment="1">
      <alignment vertical="center"/>
    </xf>
    <xf numFmtId="0" fontId="58" fillId="0" borderId="0" xfId="0" applyFont="1"/>
    <xf numFmtId="0" fontId="64" fillId="6" borderId="0" xfId="0" applyFont="1" applyFill="1"/>
    <xf numFmtId="0" fontId="2" fillId="0" borderId="0" xfId="0" applyFont="1"/>
    <xf numFmtId="0" fontId="0" fillId="0" borderId="0" xfId="0" applyAlignment="1">
      <alignment horizontal="center"/>
    </xf>
    <xf numFmtId="165" fontId="39" fillId="7" borderId="7" xfId="0" applyNumberFormat="1" applyFont="1" applyFill="1" applyBorder="1" applyAlignment="1" applyProtection="1">
      <alignment vertical="center"/>
      <protection locked="0"/>
    </xf>
    <xf numFmtId="165" fontId="39" fillId="7" borderId="7" xfId="0" applyNumberFormat="1" applyFont="1" applyFill="1" applyBorder="1" applyAlignment="1">
      <alignment vertical="center"/>
    </xf>
    <xf numFmtId="0" fontId="39" fillId="10" borderId="0" xfId="0" applyFont="1" applyFill="1" applyAlignment="1" applyProtection="1">
      <alignment horizontal="right"/>
      <protection locked="0"/>
    </xf>
    <xf numFmtId="0" fontId="53" fillId="0" borderId="0" xfId="0" applyFont="1" applyAlignment="1" applyProtection="1">
      <alignment vertical="center"/>
      <protection hidden="1"/>
    </xf>
    <xf numFmtId="0" fontId="54" fillId="0" borderId="0" xfId="0" applyFont="1" applyAlignment="1" applyProtection="1">
      <alignment vertical="center"/>
      <protection hidden="1"/>
    </xf>
    <xf numFmtId="165" fontId="54" fillId="0" borderId="0" xfId="0" applyNumberFormat="1" applyFont="1" applyAlignment="1" applyProtection="1">
      <alignment vertical="center"/>
      <protection hidden="1"/>
    </xf>
    <xf numFmtId="0" fontId="52" fillId="0" borderId="0" xfId="0" applyFont="1" applyAlignment="1" applyProtection="1">
      <alignment vertical="center"/>
      <protection hidden="1"/>
    </xf>
    <xf numFmtId="0" fontId="3" fillId="0" borderId="0" xfId="0" applyFont="1" applyAlignment="1" applyProtection="1">
      <alignment vertical="center"/>
      <protection hidden="1"/>
    </xf>
    <xf numFmtId="0" fontId="36" fillId="0" borderId="0" xfId="0" applyFont="1" applyAlignment="1" applyProtection="1">
      <alignment vertical="center"/>
      <protection hidden="1"/>
    </xf>
    <xf numFmtId="166" fontId="55" fillId="0" borderId="0" xfId="0" applyNumberFormat="1" applyFont="1" applyAlignment="1" applyProtection="1">
      <alignment vertical="center"/>
      <protection hidden="1"/>
    </xf>
    <xf numFmtId="0" fontId="27" fillId="0" borderId="0" xfId="0" applyFont="1" applyAlignment="1" applyProtection="1">
      <alignment vertical="center"/>
      <protection hidden="1"/>
    </xf>
    <xf numFmtId="0" fontId="55" fillId="0" borderId="0" xfId="0" applyFont="1" applyAlignment="1" applyProtection="1">
      <alignment vertical="center"/>
      <protection hidden="1"/>
    </xf>
    <xf numFmtId="0" fontId="51" fillId="2" borderId="1" xfId="0" applyFont="1" applyFill="1" applyBorder="1" applyAlignment="1">
      <alignment horizontal="right" vertical="center"/>
    </xf>
    <xf numFmtId="0" fontId="48" fillId="2" borderId="1" xfId="0" applyFont="1" applyFill="1" applyBorder="1" applyAlignment="1">
      <alignment horizontal="right" vertical="center"/>
    </xf>
    <xf numFmtId="0" fontId="3" fillId="0" borderId="0" xfId="0" applyFont="1" applyProtection="1">
      <protection hidden="1"/>
    </xf>
    <xf numFmtId="0" fontId="39" fillId="0" borderId="5" xfId="0" applyFont="1" applyBorder="1" applyAlignment="1" applyProtection="1">
      <alignment horizontal="right"/>
      <protection hidden="1"/>
    </xf>
    <xf numFmtId="165" fontId="39" fillId="7" borderId="13" xfId="0" applyNumberFormat="1" applyFont="1" applyFill="1" applyBorder="1" applyAlignment="1" applyProtection="1">
      <alignment horizontal="left"/>
      <protection hidden="1"/>
    </xf>
    <xf numFmtId="0" fontId="39" fillId="0" borderId="0" xfId="0" applyFont="1" applyProtection="1">
      <protection hidden="1"/>
    </xf>
    <xf numFmtId="165" fontId="39" fillId="7" borderId="13" xfId="0" applyNumberFormat="1" applyFont="1" applyFill="1" applyBorder="1" applyProtection="1">
      <protection hidden="1"/>
    </xf>
    <xf numFmtId="165" fontId="39" fillId="0" borderId="0" xfId="0" applyNumberFormat="1" applyFont="1" applyProtection="1">
      <protection hidden="1"/>
    </xf>
    <xf numFmtId="165" fontId="39" fillId="7" borderId="14" xfId="0" applyNumberFormat="1" applyFont="1" applyFill="1" applyBorder="1" applyAlignment="1" applyProtection="1">
      <alignment horizontal="right"/>
      <protection hidden="1"/>
    </xf>
    <xf numFmtId="165" fontId="39" fillId="7" borderId="14" xfId="0" applyNumberFormat="1" applyFont="1" applyFill="1" applyBorder="1" applyProtection="1">
      <protection hidden="1"/>
    </xf>
    <xf numFmtId="0" fontId="40" fillId="4" borderId="0" xfId="0" applyFont="1" applyFill="1" applyProtection="1">
      <protection hidden="1"/>
    </xf>
    <xf numFmtId="0" fontId="33" fillId="4" borderId="0" xfId="0" applyFont="1" applyFill="1" applyProtection="1">
      <protection hidden="1"/>
    </xf>
    <xf numFmtId="0" fontId="41" fillId="4" borderId="0" xfId="0" applyFont="1" applyFill="1" applyProtection="1">
      <protection hidden="1"/>
    </xf>
    <xf numFmtId="0" fontId="39" fillId="0" borderId="0" xfId="0" applyFont="1" applyAlignment="1" applyProtection="1">
      <alignment horizontal="right"/>
      <protection hidden="1"/>
    </xf>
    <xf numFmtId="164" fontId="39" fillId="0" borderId="0" xfId="0" applyNumberFormat="1" applyFont="1" applyProtection="1">
      <protection hidden="1"/>
    </xf>
    <xf numFmtId="0" fontId="42" fillId="0" borderId="0" xfId="0" applyFont="1" applyProtection="1">
      <protection hidden="1"/>
    </xf>
    <xf numFmtId="0" fontId="2" fillId="0" borderId="0" xfId="0" applyFont="1" applyAlignment="1">
      <alignment horizontal="lef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3" borderId="1" xfId="0" applyFont="1" applyFill="1" applyBorder="1" applyAlignment="1">
      <alignment vertical="center"/>
    </xf>
    <xf numFmtId="166" fontId="2" fillId="4" borderId="1" xfId="0" applyNumberFormat="1" applyFont="1" applyFill="1" applyBorder="1" applyAlignment="1">
      <alignment vertical="center"/>
    </xf>
    <xf numFmtId="0" fontId="2" fillId="3" borderId="1" xfId="0" applyFont="1" applyFill="1" applyBorder="1" applyAlignment="1">
      <alignment horizontal="left" vertical="center"/>
    </xf>
    <xf numFmtId="0" fontId="2" fillId="0" borderId="0" xfId="0" applyFont="1" applyAlignment="1" applyProtection="1">
      <alignment vertical="center"/>
      <protection hidden="1"/>
    </xf>
    <xf numFmtId="166" fontId="2" fillId="0" borderId="0" xfId="0" applyNumberFormat="1" applyFont="1" applyAlignment="1" applyProtection="1">
      <alignment vertical="center"/>
      <protection hidden="1"/>
    </xf>
    <xf numFmtId="0" fontId="2" fillId="2" borderId="0" xfId="0" applyFont="1" applyFill="1" applyAlignment="1" applyProtection="1">
      <alignment vertical="center"/>
      <protection hidden="1"/>
    </xf>
    <xf numFmtId="9" fontId="2" fillId="2" borderId="0" xfId="0" applyNumberFormat="1" applyFont="1" applyFill="1" applyAlignment="1" applyProtection="1">
      <alignment vertical="center"/>
      <protection hidden="1"/>
    </xf>
    <xf numFmtId="165" fontId="2" fillId="0" borderId="0" xfId="0" applyNumberFormat="1" applyFont="1" applyAlignment="1" applyProtection="1">
      <alignment vertical="center"/>
      <protection hidden="1"/>
    </xf>
    <xf numFmtId="167" fontId="2" fillId="0" borderId="0" xfId="0" applyNumberFormat="1" applyFont="1" applyAlignment="1">
      <alignment vertical="center"/>
    </xf>
    <xf numFmtId="166" fontId="2" fillId="7" borderId="0" xfId="0" applyNumberFormat="1" applyFont="1" applyFill="1" applyAlignment="1">
      <alignment vertical="center"/>
    </xf>
    <xf numFmtId="166" fontId="2" fillId="7" borderId="7" xfId="0" applyNumberFormat="1" applyFont="1" applyFill="1" applyBorder="1" applyAlignment="1" applyProtection="1">
      <alignment vertical="center"/>
      <protection locked="0"/>
    </xf>
    <xf numFmtId="0" fontId="2" fillId="0" borderId="0" xfId="0" applyFont="1" applyProtection="1">
      <protection hidden="1"/>
    </xf>
    <xf numFmtId="165" fontId="2" fillId="0" borderId="0" xfId="0" applyNumberFormat="1" applyFont="1" applyProtection="1">
      <protection hidden="1"/>
    </xf>
    <xf numFmtId="165" fontId="2" fillId="9" borderId="0" xfId="0" applyNumberFormat="1" applyFont="1" applyFill="1" applyProtection="1">
      <protection hidden="1"/>
    </xf>
    <xf numFmtId="166" fontId="2" fillId="8" borderId="9" xfId="0" applyNumberFormat="1" applyFont="1" applyFill="1" applyBorder="1" applyProtection="1">
      <protection hidden="1"/>
    </xf>
    <xf numFmtId="0" fontId="67" fillId="13" borderId="16" xfId="0" applyFont="1" applyFill="1" applyBorder="1"/>
    <xf numFmtId="0" fontId="67" fillId="13" borderId="17" xfId="0" applyFont="1" applyFill="1" applyBorder="1"/>
    <xf numFmtId="0" fontId="67" fillId="13" borderId="17" xfId="0" applyFont="1" applyFill="1" applyBorder="1" applyAlignment="1">
      <alignment horizontal="center" wrapText="1"/>
    </xf>
    <xf numFmtId="0" fontId="67" fillId="13" borderId="18" xfId="0" applyFont="1" applyFill="1" applyBorder="1"/>
    <xf numFmtId="0" fontId="1" fillId="14" borderId="16" xfId="0" applyFont="1" applyFill="1" applyBorder="1"/>
    <xf numFmtId="0" fontId="1" fillId="14" borderId="17" xfId="0" applyFont="1" applyFill="1" applyBorder="1"/>
    <xf numFmtId="0" fontId="1" fillId="14" borderId="17" xfId="0" applyFont="1" applyFill="1" applyBorder="1" applyAlignment="1">
      <alignment horizontal="center" wrapText="1"/>
    </xf>
    <xf numFmtId="0" fontId="1" fillId="14" borderId="18" xfId="0" applyFont="1" applyFill="1" applyBorder="1"/>
    <xf numFmtId="0" fontId="1" fillId="0" borderId="16" xfId="0" applyFont="1" applyBorder="1"/>
    <xf numFmtId="8" fontId="1" fillId="0" borderId="17" xfId="0" applyNumberFormat="1" applyFont="1" applyBorder="1"/>
    <xf numFmtId="175" fontId="1" fillId="0" borderId="17" xfId="2" applyNumberFormat="1" applyFont="1" applyBorder="1"/>
    <xf numFmtId="8" fontId="1" fillId="0" borderId="18" xfId="0" applyNumberFormat="1" applyFont="1" applyBorder="1"/>
    <xf numFmtId="8" fontId="1" fillId="14" borderId="17" xfId="0" applyNumberFormat="1" applyFont="1" applyFill="1" applyBorder="1"/>
    <xf numFmtId="175" fontId="1" fillId="14" borderId="17" xfId="2" applyNumberFormat="1" applyFont="1" applyFill="1" applyBorder="1"/>
    <xf numFmtId="8" fontId="1" fillId="14" borderId="18" xfId="0" applyNumberFormat="1" applyFont="1" applyFill="1" applyBorder="1"/>
    <xf numFmtId="0" fontId="13" fillId="6" borderId="0" xfId="0" applyFont="1" applyFill="1" applyAlignment="1">
      <alignment wrapText="1"/>
    </xf>
    <xf numFmtId="0" fontId="0" fillId="0" borderId="0" xfId="0"/>
    <xf numFmtId="0" fontId="35" fillId="0" borderId="0" xfId="0" applyFont="1" applyAlignment="1">
      <alignment vertical="center"/>
    </xf>
    <xf numFmtId="0" fontId="2" fillId="0" borderId="0" xfId="0" applyFont="1" applyAlignment="1">
      <alignment vertical="center"/>
    </xf>
    <xf numFmtId="0" fontId="56" fillId="6" borderId="0" xfId="0" applyFont="1" applyFill="1" applyAlignment="1">
      <alignment vertical="center" wrapText="1"/>
    </xf>
    <xf numFmtId="0" fontId="24" fillId="0" borderId="0" xfId="3" applyAlignment="1">
      <alignment vertical="center"/>
    </xf>
    <xf numFmtId="0" fontId="0" fillId="0" borderId="0" xfId="0" applyAlignment="1">
      <alignment vertical="center"/>
    </xf>
    <xf numFmtId="0" fontId="8"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35" fillId="0" borderId="3" xfId="0" applyFont="1" applyBorder="1" applyAlignment="1">
      <alignment horizontal="left" vertical="center"/>
    </xf>
    <xf numFmtId="0" fontId="2" fillId="0" borderId="3" xfId="0" applyFont="1" applyBorder="1" applyAlignment="1">
      <alignment vertical="center"/>
    </xf>
    <xf numFmtId="0" fontId="50" fillId="5" borderId="1" xfId="0" applyFont="1" applyFill="1" applyBorder="1" applyAlignment="1">
      <alignment vertical="center" wrapText="1"/>
    </xf>
    <xf numFmtId="0" fontId="50" fillId="5" borderId="1" xfId="0" applyFont="1" applyFill="1" applyBorder="1" applyAlignment="1">
      <alignment vertical="center"/>
    </xf>
    <xf numFmtId="0" fontId="35" fillId="5" borderId="1" xfId="0" applyFont="1" applyFill="1" applyBorder="1" applyAlignment="1">
      <alignment horizontal="left" vertical="center"/>
    </xf>
    <xf numFmtId="0" fontId="15" fillId="0" borderId="0" xfId="0" applyFont="1" applyAlignment="1">
      <alignment horizontal="center" vertical="center"/>
    </xf>
    <xf numFmtId="0" fontId="33" fillId="0" borderId="0" xfId="0" applyFont="1" applyAlignment="1">
      <alignment horizontal="center"/>
    </xf>
    <xf numFmtId="0" fontId="59" fillId="0" borderId="0" xfId="0" applyFont="1"/>
    <xf numFmtId="0" fontId="58" fillId="0" borderId="0" xfId="0" applyFont="1"/>
    <xf numFmtId="0" fontId="62" fillId="0" borderId="0" xfId="0" applyFont="1" applyAlignment="1">
      <alignment horizontal="center"/>
    </xf>
    <xf numFmtId="0" fontId="44" fillId="0" borderId="11" xfId="0" applyFont="1" applyBorder="1" applyAlignment="1">
      <alignment horizontal="center"/>
    </xf>
    <xf numFmtId="0" fontId="63" fillId="0" borderId="11" xfId="0" applyFont="1" applyBorder="1"/>
    <xf numFmtId="0" fontId="66" fillId="0" borderId="0" xfId="0" applyFont="1" applyAlignment="1">
      <alignment vertic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95250</xdr:colOff>
      <xdr:row>1</xdr:row>
      <xdr:rowOff>57150</xdr:rowOff>
    </xdr:from>
    <xdr:ext cx="2924175" cy="638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4</xdr:col>
      <xdr:colOff>342900</xdr:colOff>
      <xdr:row>3</xdr:row>
      <xdr:rowOff>69850</xdr:rowOff>
    </xdr:from>
    <xdr:to>
      <xdr:col>10</xdr:col>
      <xdr:colOff>63500</xdr:colOff>
      <xdr:row>3</xdr:row>
      <xdr:rowOff>717550</xdr:rowOff>
    </xdr:to>
    <xdr:sp macro="" textlink="">
      <xdr:nvSpPr>
        <xdr:cNvPr id="2" name="TextBox 1">
          <a:extLst>
            <a:ext uri="{FF2B5EF4-FFF2-40B4-BE49-F238E27FC236}">
              <a16:creationId xmlns:a16="http://schemas.microsoft.com/office/drawing/2014/main" id="{951A29A7-6099-363E-AA0B-FBAFEBC6FD21}"/>
            </a:ext>
          </a:extLst>
        </xdr:cNvPr>
        <xdr:cNvSpPr txBox="1"/>
      </xdr:nvSpPr>
      <xdr:spPr>
        <a:xfrm>
          <a:off x="3390900" y="717550"/>
          <a:ext cx="4292600" cy="647700"/>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i="1" u="none" strike="noStrike">
              <a:solidFill>
                <a:schemeClr val="dk1"/>
              </a:solidFill>
              <a:effectLst/>
              <a:latin typeface="+mn-lt"/>
              <a:ea typeface="+mn-ea"/>
              <a:cs typeface="+mn-cs"/>
            </a:rPr>
            <a:t>To provide churches with a guideline for paying ministry staff adequately and encouraging long-term staff tenures, while not overburdening church budgets.</a:t>
          </a:r>
          <a:r>
            <a:rPr lang="en-CA"/>
            <a:t>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21</xdr:row>
      <xdr:rowOff>6350</xdr:rowOff>
    </xdr:from>
    <xdr:to>
      <xdr:col>4</xdr:col>
      <xdr:colOff>615950</xdr:colOff>
      <xdr:row>27</xdr:row>
      <xdr:rowOff>63500</xdr:rowOff>
    </xdr:to>
    <xdr:sp macro="" textlink="">
      <xdr:nvSpPr>
        <xdr:cNvPr id="2" name="TextBox 1">
          <a:extLst>
            <a:ext uri="{FF2B5EF4-FFF2-40B4-BE49-F238E27FC236}">
              <a16:creationId xmlns:a16="http://schemas.microsoft.com/office/drawing/2014/main" id="{2CF5B2C8-DD86-15AA-3424-DE4CC8F37D45}"/>
            </a:ext>
          </a:extLst>
        </xdr:cNvPr>
        <xdr:cNvSpPr txBox="1"/>
      </xdr:nvSpPr>
      <xdr:spPr>
        <a:xfrm>
          <a:off x="2635250" y="4533900"/>
          <a:ext cx="3340100" cy="1238250"/>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reflection blurRad="6350" stA="52000" endA="300" endPos="35000" dir="5400000" sy="-100000" algn="bl" rotWithShape="0"/>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i="1" u="none" strike="noStrike">
              <a:solidFill>
                <a:schemeClr val="dk1"/>
              </a:solidFill>
              <a:effectLst/>
              <a:latin typeface="+mn-lt"/>
              <a:ea typeface="+mn-ea"/>
              <a:cs typeface="+mn-cs"/>
            </a:rPr>
            <a:t>"The living wage reflects what people need to earn to cover the actual costs of living in their community. The living wage draws on community-specific data to determine the expenses to a family with two working adults and two children." - Living Wage Ontario</a:t>
          </a:r>
          <a:r>
            <a:rPr lang="en-CA">
              <a:latin typeface="+mn-lt"/>
            </a:rPr>
            <a:t> </a:t>
          </a:r>
          <a:endParaRPr lang="en-CA" sz="1100">
            <a:latin typeface="+mn-l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manuelbaptistchurch163.sharepoint.com/sites/CentralServices/Shared%20Documents/Salary%20Guide%20Project/StaffSalaryGuidefor2026.xlsx" TargetMode="External"/><Relationship Id="rId1" Type="http://schemas.openxmlformats.org/officeDocument/2006/relationships/externalLinkPath" Target="https://emmanuelbaptistchurch163.sharepoint.com/sites/CentralServices/Shared%20Documents/Salary%20Guide%20Project/StaffSalaryGuidefor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alary Summary"/>
      <sheetName val="2 Housing Adjustment"/>
      <sheetName val="3 Track Record, Exp, Edn, Size"/>
      <sheetName val="Notes 2026"/>
      <sheetName val="Living Wage"/>
      <sheetName val="Variables"/>
      <sheetName val="Testing"/>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zoocasa.c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ntariolivingwage.ca/rates" TargetMode="Externa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rbcroyalbank.com/mortgages/mortgage-rates.html" TargetMode="External"/><Relationship Id="rId7" Type="http://schemas.openxmlformats.org/officeDocument/2006/relationships/hyperlink" Target="https://www.scotiabank.com/ca/en/personal/rates-prices/mortgages-rates.html" TargetMode="External"/><Relationship Id="rId2" Type="http://schemas.openxmlformats.org/officeDocument/2006/relationships/hyperlink" Target="https://www.ratehub.ca/banks/bank-mortgage-rates" TargetMode="External"/><Relationship Id="rId1" Type="http://schemas.openxmlformats.org/officeDocument/2006/relationships/hyperlink" Target="https://inflationcalculator.ca/2024-cpi-and-inflation-rates-for-ontario/" TargetMode="External"/><Relationship Id="rId6" Type="http://schemas.openxmlformats.org/officeDocument/2006/relationships/hyperlink" Target="https://www.cibc.com/en/interest-rates/mortgage-rates.html" TargetMode="External"/><Relationship Id="rId5" Type="http://schemas.openxmlformats.org/officeDocument/2006/relationships/hyperlink" Target="https://www.td.com/ca/en/personal-banking/products/mortgages/mortgage-rates?GOOGLE&amp;Mortgage+Calculator+-+Brand+-+English+(23_S_RL_RMO_AO_ACQ_ENFR)&amp;Calculator+-+Brand&amp;&amp;&amp;&amp;&amp;ds_rl=1265821&amp;ds_rl=1266773&amp;ds_rl=1266773&amp;ds_rl=1265821&amp;gclid=EAIaIQobChMIg93IyqaygAMVefTjBx0yOgVPEAAYASAEEgJ2bPD_BwE&amp;gclsrc=aw.ds" TargetMode="External"/><Relationship Id="rId4" Type="http://schemas.openxmlformats.org/officeDocument/2006/relationships/hyperlink" Target="https://www.bmo.com/main/personal/mortgages/mortgage-rates/" TargetMode="External"/><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zoocasa.ca/"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CCE4"/>
  </sheetPr>
  <dimension ref="B1:N64"/>
  <sheetViews>
    <sheetView topLeftCell="A5" zoomScale="80" zoomScaleNormal="80" workbookViewId="0">
      <selection activeCell="C19" sqref="C19"/>
    </sheetView>
  </sheetViews>
  <sheetFormatPr defaultColWidth="10.07421875" defaultRowHeight="15" customHeight="1"/>
  <cols>
    <col min="1" max="1" width="2.69140625" customWidth="1"/>
    <col min="2" max="2" width="38.84375" customWidth="1"/>
    <col min="3" max="3" width="19.4609375" customWidth="1"/>
    <col min="4" max="4" width="6.69140625" customWidth="1"/>
    <col min="5" max="5" width="35.84375" customWidth="1"/>
    <col min="6" max="6" width="20.07421875" customWidth="1"/>
    <col min="7" max="7" width="4.3046875" customWidth="1"/>
    <col min="8" max="8" width="34.84375" customWidth="1"/>
    <col min="9" max="9" width="19.69140625" customWidth="1"/>
    <col min="10" max="10" width="4.84375" customWidth="1"/>
    <col min="11" max="11" width="33.3046875" customWidth="1"/>
    <col min="12" max="12" width="19.765625" customWidth="1"/>
    <col min="13" max="27" width="10.69140625" customWidth="1"/>
  </cols>
  <sheetData>
    <row r="1" spans="2:12" s="70" customFormat="1" ht="15" customHeight="1"/>
    <row r="2" spans="2:12" s="70" customFormat="1" ht="28">
      <c r="B2" s="1" t="s">
        <v>0</v>
      </c>
      <c r="C2" s="1"/>
      <c r="D2" s="1"/>
      <c r="E2" s="1"/>
      <c r="F2" s="101"/>
    </row>
    <row r="3" spans="2:12" s="70" customFormat="1" ht="28">
      <c r="B3" s="1" t="s">
        <v>1</v>
      </c>
      <c r="C3" s="1"/>
      <c r="D3" s="1"/>
      <c r="E3" s="1"/>
      <c r="F3" s="102">
        <v>2026</v>
      </c>
    </row>
    <row r="4" spans="2:12" s="70" customFormat="1" ht="28">
      <c r="B4" s="1" t="s">
        <v>2</v>
      </c>
      <c r="C4" s="1"/>
      <c r="D4" s="1"/>
      <c r="E4" s="1"/>
      <c r="F4" s="103" t="s">
        <v>3</v>
      </c>
    </row>
    <row r="5" spans="2:12" s="70" customFormat="1" ht="19.5" customHeight="1">
      <c r="B5" s="198"/>
      <c r="C5" s="198"/>
      <c r="D5" s="198"/>
      <c r="E5" s="104"/>
      <c r="F5" s="104"/>
    </row>
    <row r="6" spans="2:12" s="105" customFormat="1" ht="15.75" customHeight="1">
      <c r="B6" s="199" t="s">
        <v>4</v>
      </c>
      <c r="C6" s="199"/>
      <c r="D6" s="199"/>
      <c r="E6" s="199"/>
      <c r="F6" s="156"/>
      <c r="G6" s="157"/>
      <c r="H6" s="157"/>
      <c r="I6" s="157"/>
      <c r="J6" s="157"/>
      <c r="K6" s="157"/>
      <c r="L6" s="157"/>
    </row>
    <row r="7" spans="2:12" s="105" customFormat="1" ht="15.75" customHeight="1">
      <c r="B7" s="200" t="s">
        <v>5</v>
      </c>
      <c r="C7" s="200"/>
      <c r="D7" s="200"/>
      <c r="E7" s="200"/>
      <c r="F7" s="156"/>
      <c r="G7" s="157"/>
      <c r="H7" s="157"/>
      <c r="I7" s="157"/>
      <c r="J7" s="157"/>
      <c r="K7" s="157"/>
      <c r="L7" s="157"/>
    </row>
    <row r="8" spans="2:12" s="105" customFormat="1" ht="15.75" customHeight="1">
      <c r="B8" s="201" t="s">
        <v>6</v>
      </c>
      <c r="C8" s="201"/>
      <c r="D8" s="201"/>
      <c r="E8" s="201"/>
      <c r="F8" s="156"/>
      <c r="G8" s="157"/>
      <c r="H8" s="157"/>
      <c r="I8" s="157"/>
      <c r="J8" s="157"/>
      <c r="K8" s="157"/>
      <c r="L8" s="157"/>
    </row>
    <row r="9" spans="2:12" s="105" customFormat="1" ht="15.75" customHeight="1">
      <c r="B9" s="202" t="s">
        <v>7</v>
      </c>
      <c r="C9" s="202"/>
      <c r="D9" s="202"/>
      <c r="E9" s="202"/>
      <c r="F9" s="158"/>
      <c r="G9" s="157"/>
      <c r="H9" s="157"/>
      <c r="I9" s="157"/>
      <c r="J9" s="157"/>
      <c r="K9" s="157"/>
      <c r="L9" s="157"/>
    </row>
    <row r="10" spans="2:12" s="105" customFormat="1" ht="31.5" customHeight="1">
      <c r="B10" s="157"/>
      <c r="C10" s="157"/>
      <c r="D10" s="157"/>
      <c r="E10" s="159"/>
      <c r="F10" s="157"/>
      <c r="G10" s="157"/>
      <c r="H10" s="157"/>
      <c r="I10" s="157"/>
      <c r="J10" s="157"/>
      <c r="K10" s="157"/>
      <c r="L10" s="157"/>
    </row>
    <row r="11" spans="2:12" s="105" customFormat="1" ht="15.75" customHeight="1">
      <c r="B11" s="106" t="s">
        <v>8</v>
      </c>
      <c r="C11" s="160"/>
      <c r="D11" s="160"/>
      <c r="E11" s="107" t="s">
        <v>9</v>
      </c>
      <c r="F11" s="161"/>
      <c r="G11" s="161"/>
      <c r="H11" s="161"/>
      <c r="I11" s="160"/>
      <c r="J11" s="160"/>
      <c r="K11" s="160"/>
      <c r="L11" s="160"/>
    </row>
    <row r="12" spans="2:12" s="105" customFormat="1" ht="15.75" customHeight="1">
      <c r="B12" s="160" t="s">
        <v>10</v>
      </c>
      <c r="C12" s="162">
        <f>Base</f>
        <v>58355.66339999999</v>
      </c>
      <c r="D12" s="160"/>
      <c r="E12" s="163" t="s">
        <v>11</v>
      </c>
      <c r="F12" s="161"/>
      <c r="G12" s="161"/>
      <c r="H12" s="161"/>
      <c r="I12" s="160"/>
      <c r="J12" s="160"/>
      <c r="K12" s="160"/>
      <c r="L12" s="160"/>
    </row>
    <row r="13" spans="2:12" s="105" customFormat="1" ht="15.75" customHeight="1">
      <c r="B13" s="160" t="s">
        <v>12</v>
      </c>
      <c r="C13" s="162">
        <f>HousingAdjustment</f>
        <v>8514</v>
      </c>
      <c r="D13" s="160"/>
      <c r="E13" s="163" t="s">
        <v>13</v>
      </c>
      <c r="F13" s="161"/>
      <c r="G13" s="161"/>
      <c r="H13" s="161"/>
      <c r="I13" s="160"/>
      <c r="J13" s="160"/>
      <c r="K13" s="160"/>
      <c r="L13" s="160"/>
    </row>
    <row r="14" spans="2:12" s="105" customFormat="1" ht="15.75" customHeight="1">
      <c r="B14" s="160" t="s">
        <v>14</v>
      </c>
      <c r="C14" s="162">
        <f>TrackRec</f>
        <v>1000</v>
      </c>
      <c r="D14" s="160"/>
      <c r="E14" s="163" t="s">
        <v>15</v>
      </c>
      <c r="F14" s="161"/>
      <c r="G14" s="161"/>
      <c r="H14" s="161"/>
      <c r="I14" s="160"/>
      <c r="J14" s="160"/>
      <c r="K14" s="160"/>
      <c r="L14" s="160"/>
    </row>
    <row r="15" spans="2:12" s="105" customFormat="1" ht="15.75" customHeight="1">
      <c r="B15" s="160" t="s">
        <v>16</v>
      </c>
      <c r="C15" s="162">
        <f>'3 Track Record, Exp, Edn, Size'!F16</f>
        <v>1869.0425999999995</v>
      </c>
      <c r="D15" s="160"/>
      <c r="E15" s="163" t="s">
        <v>17</v>
      </c>
      <c r="F15" s="163"/>
      <c r="G15" s="161"/>
      <c r="H15" s="161"/>
      <c r="I15" s="160"/>
      <c r="J15" s="160"/>
      <c r="K15" s="160"/>
      <c r="L15" s="160"/>
    </row>
    <row r="16" spans="2:12" s="105" customFormat="1" ht="15.75" customHeight="1">
      <c r="B16" s="160" t="s">
        <v>18</v>
      </c>
      <c r="C16" s="162">
        <f>Education</f>
        <v>1454</v>
      </c>
      <c r="D16" s="160"/>
      <c r="E16" s="108" t="s">
        <v>19</v>
      </c>
      <c r="F16" s="163"/>
      <c r="G16" s="161"/>
      <c r="H16" s="161"/>
      <c r="I16" s="160"/>
      <c r="J16" s="160"/>
      <c r="K16" s="160"/>
      <c r="L16" s="160"/>
    </row>
    <row r="17" spans="2:14" s="105" customFormat="1" ht="15.75" customHeight="1">
      <c r="B17" s="160" t="s">
        <v>20</v>
      </c>
      <c r="C17" s="162">
        <f>ROUND(Size,0)</f>
        <v>9657</v>
      </c>
      <c r="D17" s="160"/>
      <c r="E17" s="163" t="s">
        <v>21</v>
      </c>
      <c r="F17" s="163"/>
      <c r="G17" s="161"/>
      <c r="H17" s="161"/>
      <c r="I17" s="160"/>
      <c r="J17" s="160"/>
      <c r="K17" s="160"/>
      <c r="L17" s="160"/>
      <c r="M17" s="157"/>
      <c r="N17" s="157"/>
    </row>
    <row r="18" spans="2:14" s="105" customFormat="1" ht="15.75" customHeight="1">
      <c r="B18" s="109"/>
      <c r="C18" s="160"/>
      <c r="D18" s="109"/>
      <c r="E18" s="163" t="s">
        <v>22</v>
      </c>
      <c r="F18" s="161"/>
      <c r="G18" s="161"/>
      <c r="H18" s="161"/>
      <c r="I18" s="109"/>
      <c r="J18" s="160"/>
      <c r="K18" s="160"/>
      <c r="L18" s="160"/>
      <c r="M18" s="157"/>
      <c r="N18" s="157"/>
    </row>
    <row r="19" spans="2:14" s="105" customFormat="1" ht="15.75" customHeight="1">
      <c r="B19" s="109"/>
      <c r="C19" s="160"/>
      <c r="D19" s="109"/>
      <c r="E19" s="163" t="s">
        <v>23</v>
      </c>
      <c r="F19" s="161"/>
      <c r="G19" s="161"/>
      <c r="H19" s="161"/>
      <c r="I19" s="109"/>
      <c r="J19" s="160"/>
      <c r="K19" s="160"/>
      <c r="L19" s="160"/>
      <c r="M19" s="157"/>
      <c r="N19" s="157"/>
    </row>
    <row r="20" spans="2:14" s="105" customFormat="1" ht="15.75" customHeight="1">
      <c r="B20" s="109"/>
      <c r="C20" s="160"/>
      <c r="D20" s="109"/>
      <c r="E20" s="161"/>
      <c r="F20" s="161"/>
      <c r="G20" s="161"/>
      <c r="H20" s="161"/>
      <c r="I20" s="109"/>
      <c r="J20" s="160"/>
      <c r="K20" s="160"/>
      <c r="L20" s="160"/>
      <c r="M20" s="157"/>
      <c r="N20" s="157"/>
    </row>
    <row r="21" spans="2:14" s="105" customFormat="1" ht="15.75" customHeight="1">
      <c r="B21" s="109"/>
      <c r="C21" s="160"/>
      <c r="D21" s="109"/>
      <c r="E21" s="109"/>
      <c r="F21" s="109"/>
      <c r="G21" s="109"/>
      <c r="H21" s="160"/>
      <c r="I21" s="109"/>
      <c r="J21" s="160"/>
      <c r="K21" s="160"/>
      <c r="L21" s="160"/>
      <c r="M21" s="157"/>
      <c r="N21" s="157"/>
    </row>
    <row r="22" spans="2:14" s="105" customFormat="1" ht="15.75" customHeight="1">
      <c r="B22" s="140" t="s">
        <v>24</v>
      </c>
      <c r="C22" s="110">
        <f>IF(C17&lt;Variables!D15, SUM(C12:C17),SUM(C12:C17)*Variables!D29)</f>
        <v>80849.705999999991</v>
      </c>
      <c r="D22" s="109"/>
      <c r="E22" s="204" t="s">
        <v>25</v>
      </c>
      <c r="F22" s="204"/>
      <c r="G22" s="204"/>
      <c r="H22" s="204"/>
      <c r="I22" s="204"/>
      <c r="J22" s="204"/>
      <c r="K22" s="204"/>
      <c r="L22" s="204"/>
      <c r="M22" s="157"/>
      <c r="N22" s="157"/>
    </row>
    <row r="23" spans="2:14" s="105" customFormat="1" ht="15.75" customHeight="1">
      <c r="B23" s="141" t="s">
        <v>26</v>
      </c>
      <c r="C23" s="111">
        <f>SUM(C$12:C$17)*Variables!D33</f>
        <v>75190.226580000002</v>
      </c>
      <c r="D23" s="109"/>
      <c r="E23" s="205" t="s">
        <v>27</v>
      </c>
      <c r="F23" s="205"/>
      <c r="G23" s="205"/>
      <c r="H23" s="205"/>
      <c r="I23" s="205"/>
      <c r="J23" s="205"/>
      <c r="K23" s="205"/>
      <c r="L23" s="205"/>
      <c r="M23" s="157"/>
      <c r="N23" s="157"/>
    </row>
    <row r="24" spans="2:14" s="105" customFormat="1" ht="15.75" customHeight="1">
      <c r="B24" s="141" t="s">
        <v>28</v>
      </c>
      <c r="C24" s="111">
        <f>SUM(C$12:C$17)*Variables!D34</f>
        <v>68722.25009999999</v>
      </c>
      <c r="D24" s="109"/>
      <c r="E24" s="205" t="s">
        <v>29</v>
      </c>
      <c r="F24" s="205"/>
      <c r="G24" s="205"/>
      <c r="H24" s="205"/>
      <c r="I24" s="205"/>
      <c r="J24" s="205"/>
      <c r="K24" s="205"/>
      <c r="L24" s="205"/>
      <c r="M24" s="157"/>
      <c r="N24" s="157"/>
    </row>
    <row r="25" spans="2:14" s="105" customFormat="1" ht="16.5" customHeight="1">
      <c r="B25" s="141" t="s">
        <v>30</v>
      </c>
      <c r="C25" s="111">
        <f>IF(C17=Variables!D15,((SUM('1 Salary Summary'!C12:C17)-(Variables!D15-Variables!D13))*Variables!D35),IF(C17=Variables!D14,((SUM('1 Salary Summary'!C12:C17)-(Variables!D14-Variables!D13))*Variables!D35),((SUM('1 Salary Summary'!C12:C17)))*Variables!D35))</f>
        <v>63062.770679999994</v>
      </c>
      <c r="D25" s="109"/>
      <c r="E25" s="204" t="s">
        <v>31</v>
      </c>
      <c r="F25" s="204"/>
      <c r="G25" s="204"/>
      <c r="H25" s="204"/>
      <c r="I25" s="204"/>
      <c r="J25" s="204"/>
      <c r="K25" s="204"/>
      <c r="L25" s="204"/>
      <c r="M25" s="157"/>
      <c r="N25" s="157" t="s">
        <v>32</v>
      </c>
    </row>
    <row r="26" spans="2:14" s="105" customFormat="1" ht="15.75" customHeight="1">
      <c r="B26" s="141" t="s">
        <v>33</v>
      </c>
      <c r="C26" s="111">
        <f>IF(C17=Variables!D15,((SUM('1 Salary Summary'!C12:C17)-(Variables!D15-Variables!D13))*Variables!D36),IF(C17=Variables!D14,((SUM('1 Salary Summary'!C12:C17)-(Variables!D14-Variables!D13))*Variables!D36),((SUM('1 Salary Summary'!C12:C17)))*Variables!D36))</f>
        <v>56594.794199999989</v>
      </c>
      <c r="D26" s="109"/>
      <c r="E26" s="204" t="s">
        <v>34</v>
      </c>
      <c r="F26" s="204"/>
      <c r="G26" s="204"/>
      <c r="H26" s="204"/>
      <c r="I26" s="204"/>
      <c r="J26" s="204"/>
      <c r="K26" s="204"/>
      <c r="L26" s="204"/>
      <c r="M26" s="157"/>
      <c r="N26" s="157"/>
    </row>
    <row r="27" spans="2:14" s="105" customFormat="1" ht="15" customHeight="1">
      <c r="B27" s="160"/>
      <c r="C27" s="112" t="s">
        <v>35</v>
      </c>
      <c r="D27" s="160"/>
      <c r="E27" s="203" t="s">
        <v>36</v>
      </c>
      <c r="F27" s="203"/>
      <c r="G27" s="203"/>
      <c r="H27" s="203"/>
      <c r="I27" s="203"/>
      <c r="J27" s="203"/>
      <c r="K27" s="203"/>
      <c r="L27" s="203"/>
      <c r="M27" s="157"/>
      <c r="N27" s="157"/>
    </row>
    <row r="28" spans="2:14" s="105" customFormat="1" ht="14">
      <c r="B28" s="160"/>
      <c r="C28" s="160"/>
      <c r="D28" s="160"/>
      <c r="E28" s="203" t="s">
        <v>37</v>
      </c>
      <c r="F28" s="203"/>
      <c r="G28" s="203"/>
      <c r="H28" s="203"/>
      <c r="I28" s="203"/>
      <c r="J28" s="203"/>
      <c r="K28" s="203"/>
      <c r="L28" s="203"/>
      <c r="M28" s="157"/>
      <c r="N28" s="157"/>
    </row>
    <row r="29" spans="2:14" s="105" customFormat="1" ht="15" customHeight="1">
      <c r="B29" s="160"/>
      <c r="C29" s="160"/>
      <c r="D29" s="160"/>
      <c r="E29" s="204" t="s">
        <v>38</v>
      </c>
      <c r="F29" s="204"/>
      <c r="G29" s="204"/>
      <c r="H29" s="204"/>
      <c r="I29" s="204"/>
      <c r="J29" s="204"/>
      <c r="K29" s="204"/>
      <c r="L29" s="204"/>
      <c r="M29" s="157"/>
      <c r="N29" s="157"/>
    </row>
    <row r="30" spans="2:14" s="105" customFormat="1" ht="28.5" customHeight="1">
      <c r="B30" s="160"/>
      <c r="C30" s="160"/>
      <c r="D30" s="160"/>
      <c r="E30" s="203" t="s">
        <v>39</v>
      </c>
      <c r="F30" s="203"/>
      <c r="G30" s="203"/>
      <c r="H30" s="203"/>
      <c r="I30" s="203"/>
      <c r="J30" s="203"/>
      <c r="K30" s="203"/>
      <c r="L30" s="203"/>
      <c r="M30" s="157"/>
      <c r="N30" s="157"/>
    </row>
    <row r="31" spans="2:14" s="70" customFormat="1" ht="15" customHeight="1"/>
    <row r="32" spans="2:14" s="70" customFormat="1" ht="15" customHeight="1"/>
    <row r="33" spans="2:12" s="134" customFormat="1" ht="15.75" customHeight="1">
      <c r="B33" s="131" t="s">
        <v>40</v>
      </c>
      <c r="C33" s="132"/>
      <c r="D33" s="132"/>
      <c r="E33" s="131" t="s">
        <v>41</v>
      </c>
      <c r="F33" s="133"/>
      <c r="G33" s="132"/>
      <c r="H33" s="131" t="s">
        <v>42</v>
      </c>
      <c r="I33" s="133"/>
      <c r="J33" s="132"/>
      <c r="K33" s="131" t="s">
        <v>43</v>
      </c>
      <c r="L33" s="133"/>
    </row>
    <row r="34" spans="2:12" s="135" customFormat="1" ht="15.75" customHeight="1">
      <c r="B34" s="164" t="s">
        <v>44</v>
      </c>
      <c r="C34" s="165">
        <f>Base</f>
        <v>58355.66339999999</v>
      </c>
      <c r="D34" s="164"/>
      <c r="E34" s="164" t="s">
        <v>44</v>
      </c>
      <c r="F34" s="165">
        <f>Base</f>
        <v>58355.66339999999</v>
      </c>
      <c r="G34" s="164"/>
      <c r="H34" s="164" t="s">
        <v>44</v>
      </c>
      <c r="I34" s="165">
        <f>Base</f>
        <v>58355.66339999999</v>
      </c>
      <c r="J34" s="164"/>
      <c r="K34" s="164" t="s">
        <v>44</v>
      </c>
      <c r="L34" s="165">
        <f>Variables!D24</f>
        <v>58355.66339999999</v>
      </c>
    </row>
    <row r="35" spans="2:12" s="135" customFormat="1" ht="15.75" customHeight="1">
      <c r="B35" s="164" t="s">
        <v>45</v>
      </c>
      <c r="C35" s="165">
        <f>'2 Housing Adjustment'!H46</f>
        <v>30112.352999999996</v>
      </c>
      <c r="D35" s="164"/>
      <c r="E35" s="164" t="s">
        <v>46</v>
      </c>
      <c r="F35" s="165">
        <f>'2 Housing Adjustment'!H39</f>
        <v>20663.405999999999</v>
      </c>
      <c r="G35" s="164"/>
      <c r="H35" s="164" t="s">
        <v>47</v>
      </c>
      <c r="I35" s="165">
        <f>'2 Housing Adjustment'!H32</f>
        <v>14122.061999999998</v>
      </c>
      <c r="J35" s="164"/>
      <c r="K35" s="164" t="s">
        <v>48</v>
      </c>
      <c r="L35" s="165">
        <f>'2 Housing Adjustment'!H34</f>
        <v>16924.913999999997</v>
      </c>
    </row>
    <row r="36" spans="2:12" s="135" customFormat="1" ht="15.75" customHeight="1">
      <c r="B36" s="164" t="s">
        <v>49</v>
      </c>
      <c r="C36" s="165">
        <v>2400</v>
      </c>
      <c r="D36" s="164"/>
      <c r="E36" s="164" t="s">
        <v>49</v>
      </c>
      <c r="F36" s="165">
        <v>4800</v>
      </c>
      <c r="G36" s="164"/>
      <c r="H36" s="164" t="s">
        <v>49</v>
      </c>
      <c r="I36" s="165">
        <v>7200</v>
      </c>
      <c r="J36" s="164"/>
      <c r="K36" s="164" t="s">
        <v>49</v>
      </c>
      <c r="L36" s="165">
        <v>4800</v>
      </c>
    </row>
    <row r="37" spans="2:12" s="135" customFormat="1" ht="15.75" customHeight="1">
      <c r="B37" s="164" t="s">
        <v>50</v>
      </c>
      <c r="C37" s="165">
        <f>5*Experience</f>
        <v>4672.606499999999</v>
      </c>
      <c r="D37" s="164"/>
      <c r="E37" s="164" t="s">
        <v>51</v>
      </c>
      <c r="F37" s="165">
        <f>4*Experience</f>
        <v>3738.0851999999991</v>
      </c>
      <c r="G37" s="164"/>
      <c r="H37" s="164" t="s">
        <v>52</v>
      </c>
      <c r="I37" s="165">
        <f>10*Experience</f>
        <v>9345.2129999999979</v>
      </c>
      <c r="J37" s="164"/>
      <c r="K37" s="164" t="s">
        <v>53</v>
      </c>
      <c r="L37" s="165">
        <f>10*Experience</f>
        <v>9345.2129999999979</v>
      </c>
    </row>
    <row r="38" spans="2:12" s="135" customFormat="1" ht="15.75" customHeight="1">
      <c r="B38" s="164" t="s">
        <v>54</v>
      </c>
      <c r="C38" s="165">
        <f>Variables!D20</f>
        <v>1453.6997999999996</v>
      </c>
      <c r="D38" s="164"/>
      <c r="E38" s="164" t="s">
        <v>55</v>
      </c>
      <c r="F38" s="165">
        <f>Variables!D21</f>
        <v>2907.3995999999993</v>
      </c>
      <c r="G38" s="164"/>
      <c r="H38" s="164" t="s">
        <v>56</v>
      </c>
      <c r="I38" s="165">
        <f>Variables!D22</f>
        <v>4361.0993999999992</v>
      </c>
      <c r="J38" s="164"/>
      <c r="K38" s="164" t="s">
        <v>55</v>
      </c>
      <c r="L38" s="165">
        <f>Variables!D21</f>
        <v>2907.3995999999993</v>
      </c>
    </row>
    <row r="39" spans="2:12" s="135" customFormat="1" ht="15.75" customHeight="1">
      <c r="B39" s="164" t="s">
        <v>57</v>
      </c>
      <c r="C39" s="165">
        <f>Variables!D10</f>
        <v>1016.9999999999999</v>
      </c>
      <c r="D39" s="164"/>
      <c r="E39" s="164" t="s">
        <v>58</v>
      </c>
      <c r="F39" s="165">
        <f>Variables!D12</f>
        <v>6437.8133999999991</v>
      </c>
      <c r="G39" s="164"/>
      <c r="H39" s="164" t="s">
        <v>58</v>
      </c>
      <c r="I39" s="165">
        <f>Variables!D12</f>
        <v>6437.8133999999991</v>
      </c>
      <c r="J39" s="164"/>
      <c r="K39" s="164" t="s">
        <v>59</v>
      </c>
      <c r="L39" s="165">
        <f>Variables!D13</f>
        <v>9657</v>
      </c>
    </row>
    <row r="40" spans="2:12" s="135" customFormat="1" ht="15.75" customHeight="1">
      <c r="B40" s="166" t="s">
        <v>60</v>
      </c>
      <c r="C40" s="167"/>
      <c r="D40" s="164"/>
      <c r="E40" s="166" t="s">
        <v>61</v>
      </c>
      <c r="F40" s="167"/>
      <c r="G40" s="164"/>
      <c r="H40" s="166" t="s">
        <v>62</v>
      </c>
      <c r="I40" s="167"/>
      <c r="J40" s="164"/>
      <c r="K40" s="166" t="s">
        <v>63</v>
      </c>
      <c r="L40" s="167"/>
    </row>
    <row r="41" spans="2:12" s="135" customFormat="1" ht="15.75" customHeight="1">
      <c r="B41" s="164"/>
      <c r="C41" s="168"/>
      <c r="D41" s="164"/>
      <c r="E41" s="164"/>
      <c r="F41" s="168"/>
      <c r="G41" s="164"/>
      <c r="H41" s="164"/>
      <c r="I41" s="168"/>
      <c r="J41" s="164"/>
      <c r="K41" s="164"/>
      <c r="L41" s="168"/>
    </row>
    <row r="42" spans="2:12" s="135" customFormat="1" ht="15.75" customHeight="1">
      <c r="B42" s="136" t="s">
        <v>64</v>
      </c>
      <c r="C42" s="137">
        <f>SUM(C34:C39)*Variables!D32</f>
        <v>98011.32269999999</v>
      </c>
      <c r="D42" s="138"/>
      <c r="E42" s="139" t="s">
        <v>65</v>
      </c>
      <c r="F42" s="137">
        <f>SUM(F34:F39)*Variables!D35</f>
        <v>75583.846728000004</v>
      </c>
      <c r="G42" s="138"/>
      <c r="H42" s="139" t="s">
        <v>66</v>
      </c>
      <c r="I42" s="137">
        <f>SUM(I34:I39)*Variables!D34</f>
        <v>84848.573519999991</v>
      </c>
      <c r="J42" s="138"/>
      <c r="K42" s="139" t="s">
        <v>67</v>
      </c>
      <c r="L42" s="137">
        <f>SUM(L34:L39)*Variables!D33</f>
        <v>94850.876699999993</v>
      </c>
    </row>
    <row r="43" spans="2:12" s="105" customFormat="1" ht="15.75" customHeight="1">
      <c r="B43" s="157"/>
      <c r="C43" s="112" t="s">
        <v>35</v>
      </c>
      <c r="D43" s="157"/>
      <c r="E43" s="157"/>
      <c r="F43" s="112" t="s">
        <v>35</v>
      </c>
      <c r="G43" s="157"/>
      <c r="H43" s="157"/>
      <c r="I43" s="112" t="s">
        <v>35</v>
      </c>
      <c r="J43" s="157"/>
      <c r="K43" s="157"/>
      <c r="L43" s="112" t="s">
        <v>35</v>
      </c>
    </row>
    <row r="44" spans="2:12" s="105" customFormat="1" ht="15.75" customHeight="1">
      <c r="B44" s="157"/>
      <c r="C44" s="113"/>
      <c r="D44" s="157"/>
      <c r="E44" s="157"/>
      <c r="F44" s="169"/>
      <c r="G44" s="157"/>
      <c r="H44" s="157"/>
      <c r="I44" s="169"/>
      <c r="J44" s="157"/>
      <c r="K44" s="157"/>
      <c r="L44" s="169"/>
    </row>
    <row r="45" spans="2:12" s="105" customFormat="1" ht="15.75" customHeight="1">
      <c r="B45" s="100" t="s">
        <v>68</v>
      </c>
      <c r="C45" s="114"/>
      <c r="D45" s="115"/>
      <c r="E45" s="115"/>
      <c r="F45" s="113"/>
      <c r="G45" s="113"/>
      <c r="H45" s="113"/>
      <c r="I45" s="113"/>
      <c r="J45" s="113"/>
      <c r="K45" s="113"/>
      <c r="L45" s="113"/>
    </row>
    <row r="46" spans="2:12" s="105" customFormat="1" ht="14">
      <c r="B46" s="193" t="s">
        <v>69</v>
      </c>
      <c r="C46" s="194"/>
      <c r="D46" s="194"/>
      <c r="E46" s="194"/>
      <c r="F46" s="157"/>
      <c r="G46" s="157"/>
      <c r="H46" s="157"/>
      <c r="I46" s="157"/>
      <c r="J46" s="157"/>
      <c r="K46" s="157"/>
      <c r="L46" s="157"/>
    </row>
    <row r="47" spans="2:12" s="105" customFormat="1" ht="15.75" customHeight="1">
      <c r="B47" s="193" t="s">
        <v>70</v>
      </c>
      <c r="C47" s="194"/>
      <c r="D47" s="115"/>
      <c r="E47" s="115"/>
      <c r="F47" s="157"/>
      <c r="G47" s="157"/>
      <c r="H47" s="157"/>
      <c r="I47" s="157"/>
      <c r="J47" s="157"/>
      <c r="K47" s="157"/>
      <c r="L47" s="157"/>
    </row>
    <row r="48" spans="2:12" s="105" customFormat="1" ht="15.75" customHeight="1">
      <c r="B48" s="193" t="s">
        <v>71</v>
      </c>
      <c r="C48" s="194"/>
      <c r="D48" s="194"/>
      <c r="E48" s="194"/>
      <c r="F48" s="157"/>
      <c r="G48" s="157"/>
      <c r="H48" s="157"/>
      <c r="I48" s="157"/>
      <c r="J48" s="157"/>
      <c r="K48" s="157"/>
      <c r="L48" s="157"/>
    </row>
    <row r="49" spans="2:5" s="105" customFormat="1" ht="15" customHeight="1">
      <c r="B49" s="157"/>
      <c r="C49" s="157"/>
      <c r="D49" s="157"/>
      <c r="E49" s="157"/>
    </row>
    <row r="50" spans="2:5" s="105" customFormat="1" ht="65.25" customHeight="1">
      <c r="B50" s="195" t="s">
        <v>72</v>
      </c>
      <c r="C50" s="194"/>
      <c r="D50" s="194"/>
      <c r="E50" s="194"/>
    </row>
    <row r="51" spans="2:5" s="105" customFormat="1" ht="33" customHeight="1">
      <c r="B51" s="195" t="s">
        <v>73</v>
      </c>
      <c r="C51" s="194"/>
      <c r="D51" s="194"/>
      <c r="E51" s="194"/>
    </row>
    <row r="52" spans="2:5" s="105" customFormat="1" ht="15.75" customHeight="1">
      <c r="B52" s="116"/>
      <c r="C52" s="116"/>
      <c r="D52" s="116"/>
      <c r="E52" s="116"/>
    </row>
    <row r="53" spans="2:5" s="105" customFormat="1" ht="15.75" customHeight="1">
      <c r="B53" s="100" t="s">
        <v>74</v>
      </c>
      <c r="C53" s="117"/>
      <c r="D53" s="115"/>
      <c r="E53" s="115"/>
    </row>
    <row r="54" spans="2:5" s="105" customFormat="1" ht="15.75" customHeight="1">
      <c r="B54" s="193" t="s">
        <v>75</v>
      </c>
      <c r="C54" s="194"/>
      <c r="D54" s="194"/>
      <c r="E54" s="194"/>
    </row>
    <row r="55" spans="2:5" s="105" customFormat="1" ht="15.75" customHeight="1">
      <c r="B55" s="193" t="s">
        <v>76</v>
      </c>
      <c r="C55" s="194"/>
      <c r="D55" s="194"/>
      <c r="E55" s="194"/>
    </row>
    <row r="56" spans="2:5" s="105" customFormat="1" ht="15.75" customHeight="1">
      <c r="B56" s="193" t="s">
        <v>77</v>
      </c>
      <c r="C56" s="194"/>
      <c r="D56" s="194"/>
      <c r="E56" s="194"/>
    </row>
    <row r="57" spans="2:5" s="105" customFormat="1" ht="15.75" customHeight="1">
      <c r="B57" s="193" t="s">
        <v>78</v>
      </c>
      <c r="C57" s="194"/>
      <c r="D57" s="194"/>
      <c r="E57" s="194"/>
    </row>
    <row r="58" spans="2:5" s="105" customFormat="1" ht="15.75" customHeight="1">
      <c r="B58" s="115"/>
      <c r="C58" s="115"/>
      <c r="D58" s="115"/>
      <c r="E58" s="115"/>
    </row>
    <row r="59" spans="2:5" s="105" customFormat="1" ht="15.75" customHeight="1">
      <c r="B59" s="100" t="s">
        <v>79</v>
      </c>
      <c r="C59" s="115"/>
      <c r="D59" s="115"/>
      <c r="E59" s="115"/>
    </row>
    <row r="60" spans="2:5" s="105" customFormat="1" ht="15.75" customHeight="1">
      <c r="B60" s="193" t="s">
        <v>80</v>
      </c>
      <c r="C60" s="194"/>
      <c r="D60" s="194"/>
      <c r="E60" s="194"/>
    </row>
    <row r="61" spans="2:5" s="105" customFormat="1" ht="15.75" customHeight="1">
      <c r="B61" s="193" t="s">
        <v>81</v>
      </c>
      <c r="C61" s="194"/>
      <c r="D61" s="115"/>
      <c r="E61" s="115"/>
    </row>
    <row r="62" spans="2:5" s="105" customFormat="1" ht="15.75" customHeight="1">
      <c r="B62" s="193" t="s">
        <v>82</v>
      </c>
      <c r="C62" s="194"/>
      <c r="D62" s="194"/>
      <c r="E62" s="115"/>
    </row>
    <row r="63" spans="2:5" s="70" customFormat="1" ht="15.75" customHeight="1">
      <c r="B63" s="196" t="str">
        <f>HYPERLINK("mailto:churchvitality@febcentral.ca?subject=Staff Salary Guide", "Click here to email")</f>
        <v>Click here to email</v>
      </c>
      <c r="C63" s="197"/>
      <c r="D63" s="197"/>
      <c r="E63" s="118"/>
    </row>
    <row r="64" spans="2:5" ht="15.75" customHeight="1">
      <c r="B64" s="191"/>
      <c r="C64" s="192"/>
      <c r="D64" s="192"/>
      <c r="E64" s="192"/>
    </row>
  </sheetData>
  <sheetProtection algorithmName="SHA-512" hashValue="nYNIGKv8LEPa36bZPp8XxMU4JH1KKBbaDjQM7kC3VmbH++F82CCbFQyGCB13hq8PvWSSo+XFoMa5MpE4Zhn7hQ==" saltValue="L5lcQ/i/Br1MgCCXhvmg6g==" spinCount="100000" sheet="1" objects="1" scenarios="1"/>
  <mergeCells count="28">
    <mergeCell ref="E27:L27"/>
    <mergeCell ref="E28:L28"/>
    <mergeCell ref="E29:L29"/>
    <mergeCell ref="E30:L30"/>
    <mergeCell ref="E22:L22"/>
    <mergeCell ref="E23:L23"/>
    <mergeCell ref="E24:L24"/>
    <mergeCell ref="E25:L25"/>
    <mergeCell ref="E26:L26"/>
    <mergeCell ref="B5:D5"/>
    <mergeCell ref="B6:E6"/>
    <mergeCell ref="B7:E7"/>
    <mergeCell ref="B8:E8"/>
    <mergeCell ref="B9:E9"/>
    <mergeCell ref="B64:E64"/>
    <mergeCell ref="B46:E46"/>
    <mergeCell ref="B47:C47"/>
    <mergeCell ref="B48:E48"/>
    <mergeCell ref="B50:E50"/>
    <mergeCell ref="B63:D63"/>
    <mergeCell ref="B51:E51"/>
    <mergeCell ref="B54:E54"/>
    <mergeCell ref="B55:E55"/>
    <mergeCell ref="B56:E56"/>
    <mergeCell ref="B57:E57"/>
    <mergeCell ref="B60:E60"/>
    <mergeCell ref="B61:C61"/>
    <mergeCell ref="B62:D62"/>
  </mergeCells>
  <pageMargins left="0.75" right="0.75" top="1" bottom="1"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EFFB4"/>
    <pageSetUpPr fitToPage="1"/>
  </sheetPr>
  <dimension ref="B2:M98"/>
  <sheetViews>
    <sheetView zoomScale="70" zoomScaleNormal="70" workbookViewId="0">
      <selection activeCell="J15" sqref="J15"/>
    </sheetView>
  </sheetViews>
  <sheetFormatPr defaultColWidth="10.07421875" defaultRowHeight="15" customHeight="1"/>
  <cols>
    <col min="1" max="1" width="2.69140625" customWidth="1"/>
    <col min="2" max="2" width="13.4609375" customWidth="1"/>
    <col min="3" max="3" width="11.69140625" customWidth="1"/>
    <col min="4" max="4" width="17.765625" customWidth="1"/>
    <col min="5" max="5" width="20.23046875" customWidth="1"/>
    <col min="6" max="7" width="16.3046875" customWidth="1"/>
    <col min="8" max="8" width="14.69140625" customWidth="1"/>
    <col min="9" max="9" width="14.23046875" customWidth="1"/>
    <col min="10" max="10" width="10.765625" customWidth="1"/>
    <col min="11" max="11" width="11.84375" customWidth="1"/>
    <col min="12" max="12" width="13.3046875" customWidth="1"/>
    <col min="13" max="13" width="8.69140625" customWidth="1"/>
    <col min="14" max="15" width="10.69140625" customWidth="1"/>
    <col min="16" max="16" width="8.765625" customWidth="1"/>
    <col min="17" max="30" width="10.69140625" customWidth="1"/>
    <col min="31" max="33" width="11.3046875" customWidth="1"/>
  </cols>
  <sheetData>
    <row r="2" spans="2:9" s="70" customFormat="1" ht="28">
      <c r="B2" s="119" t="s">
        <v>83</v>
      </c>
      <c r="C2" s="119"/>
      <c r="D2" s="119"/>
      <c r="E2" s="119"/>
      <c r="F2" s="119"/>
      <c r="G2" s="119"/>
      <c r="H2" s="119"/>
      <c r="I2" s="119"/>
    </row>
    <row r="3" spans="2:9" s="70" customFormat="1" ht="28">
      <c r="B3" s="1" t="s">
        <v>84</v>
      </c>
      <c r="C3" s="119"/>
      <c r="D3" s="119"/>
      <c r="E3" s="119"/>
      <c r="F3" s="119"/>
      <c r="G3" s="119"/>
      <c r="H3" s="119"/>
      <c r="I3" s="119"/>
    </row>
    <row r="4" spans="2:9" s="70" customFormat="1" ht="28">
      <c r="B4" s="119" t="s">
        <v>85</v>
      </c>
      <c r="C4" s="119"/>
      <c r="D4" s="119"/>
      <c r="E4" s="119"/>
      <c r="F4" s="119"/>
      <c r="G4" s="119"/>
      <c r="H4" s="119"/>
      <c r="I4" s="119"/>
    </row>
    <row r="5" spans="2:9" s="70" customFormat="1" ht="15.75" customHeight="1">
      <c r="B5" s="206"/>
      <c r="C5" s="197"/>
      <c r="D5" s="197"/>
      <c r="E5" s="197"/>
      <c r="F5" s="197"/>
      <c r="G5" s="197"/>
      <c r="H5" s="197"/>
      <c r="I5" s="197"/>
    </row>
    <row r="6" spans="2:9" s="105" customFormat="1" ht="15.75" customHeight="1">
      <c r="B6" s="120"/>
      <c r="C6" s="120"/>
      <c r="D6" s="120"/>
      <c r="E6" s="120"/>
      <c r="F6" s="120"/>
      <c r="G6" s="120"/>
      <c r="H6" s="157"/>
      <c r="I6" s="157"/>
    </row>
    <row r="7" spans="2:9" s="105" customFormat="1" ht="15.75" customHeight="1">
      <c r="B7" s="113" t="s">
        <v>86</v>
      </c>
      <c r="C7" s="157"/>
      <c r="D7" s="157"/>
      <c r="E7" s="157"/>
      <c r="F7" s="157"/>
      <c r="G7" s="157"/>
      <c r="H7" s="157"/>
      <c r="I7" s="157"/>
    </row>
    <row r="8" spans="2:9" s="105" customFormat="1" ht="15.75" customHeight="1">
      <c r="B8" s="121" t="s">
        <v>87</v>
      </c>
      <c r="C8" s="157"/>
      <c r="D8" s="157"/>
      <c r="E8" s="157"/>
      <c r="F8" s="157"/>
      <c r="G8" s="157"/>
      <c r="H8" s="157"/>
      <c r="I8" s="157"/>
    </row>
    <row r="9" spans="2:9" s="105" customFormat="1" ht="15" customHeight="1">
      <c r="B9" s="157"/>
      <c r="C9" s="157"/>
      <c r="D9" s="157"/>
      <c r="E9" s="157"/>
      <c r="F9" s="157"/>
      <c r="G9" s="157"/>
      <c r="H9" s="157"/>
      <c r="I9" s="157"/>
    </row>
    <row r="10" spans="2:9" s="105" customFormat="1" ht="15.75" customHeight="1">
      <c r="B10" s="113" t="s">
        <v>88</v>
      </c>
      <c r="C10" s="157"/>
      <c r="D10" s="157"/>
      <c r="E10" s="157"/>
      <c r="F10" s="157"/>
      <c r="G10" s="157"/>
      <c r="H10" s="157"/>
      <c r="I10" s="157"/>
    </row>
    <row r="11" spans="2:9" s="105" customFormat="1" ht="15.75" customHeight="1">
      <c r="B11" s="113" t="s">
        <v>89</v>
      </c>
      <c r="C11" s="157"/>
      <c r="D11" s="157"/>
      <c r="E11" s="157"/>
      <c r="F11" s="157"/>
      <c r="G11" s="157"/>
      <c r="H11" s="157"/>
      <c r="I11" s="157"/>
    </row>
    <row r="12" spans="2:9" s="78" customFormat="1" ht="15.75" customHeight="1">
      <c r="B12" s="126"/>
      <c r="C12" s="126"/>
      <c r="D12" s="126"/>
      <c r="E12" s="126"/>
      <c r="F12" s="126"/>
      <c r="G12" s="126"/>
      <c r="H12" s="126"/>
      <c r="I12" s="126"/>
    </row>
    <row r="13" spans="2:9" s="105" customFormat="1" ht="15.75" customHeight="1">
      <c r="B13" s="94" t="s">
        <v>90</v>
      </c>
      <c r="C13" s="170"/>
      <c r="D13" s="170"/>
      <c r="E13" s="171">
        <v>8514</v>
      </c>
      <c r="F13" s="157"/>
      <c r="G13" s="157"/>
      <c r="H13" s="157"/>
      <c r="I13" s="157"/>
    </row>
    <row r="14" spans="2:9" s="78" customFormat="1" ht="15" customHeight="1">
      <c r="B14" s="126"/>
      <c r="C14" s="126"/>
      <c r="D14" s="126"/>
      <c r="E14" s="126"/>
      <c r="F14" s="126"/>
      <c r="G14" s="126"/>
      <c r="H14" s="126"/>
      <c r="I14" s="126"/>
    </row>
    <row r="15" spans="2:9" s="78" customFormat="1" ht="15" customHeight="1">
      <c r="B15" s="126"/>
      <c r="C15" s="126"/>
      <c r="D15" s="126"/>
      <c r="E15" s="126"/>
      <c r="F15" s="126"/>
      <c r="G15" s="126"/>
      <c r="H15" s="126"/>
      <c r="I15" s="126"/>
    </row>
    <row r="16" spans="2:9" s="78" customFormat="1" ht="15" customHeight="1">
      <c r="B16" s="126"/>
      <c r="C16" s="126"/>
      <c r="D16" s="126"/>
      <c r="E16" s="126"/>
      <c r="F16" s="126"/>
      <c r="G16" s="126"/>
      <c r="H16" s="126"/>
      <c r="I16" s="126"/>
    </row>
    <row r="17" spans="2:8" s="78" customFormat="1" ht="15.75" customHeight="1">
      <c r="B17" s="123" t="s">
        <v>91</v>
      </c>
      <c r="C17" s="95"/>
      <c r="D17" s="122" t="s">
        <v>92</v>
      </c>
      <c r="E17" s="122" t="s">
        <v>93</v>
      </c>
      <c r="F17" s="96" t="s">
        <v>94</v>
      </c>
      <c r="G17" s="96" t="s">
        <v>95</v>
      </c>
      <c r="H17" s="97" t="s">
        <v>96</v>
      </c>
    </row>
    <row r="18" spans="2:8" s="78" customFormat="1" ht="15.75" customHeight="1">
      <c r="B18" s="126"/>
      <c r="C18" s="126"/>
      <c r="D18" s="98" t="s">
        <v>97</v>
      </c>
      <c r="E18" s="98" t="s">
        <v>97</v>
      </c>
      <c r="F18" s="96" t="s">
        <v>98</v>
      </c>
      <c r="G18" s="96" t="s">
        <v>98</v>
      </c>
      <c r="H18" s="126"/>
    </row>
    <row r="19" spans="2:8" s="142" customFormat="1" ht="15.75" customHeight="1">
      <c r="B19" s="172" t="s">
        <v>99</v>
      </c>
      <c r="C19" s="173"/>
      <c r="D19" s="173">
        <f>_xlfn.XLOOKUP(B19,Testing!$B$43:$B$71,Testing!$H$43:$H$71)</f>
        <v>300000</v>
      </c>
      <c r="E19" s="173">
        <f>_xlfn.XLOOKUP(B19,Testing!$B$43:$B$71,Testing!$I$43:$I$71)</f>
        <v>300000</v>
      </c>
      <c r="F19" s="174">
        <f>_xlfn.XLOOKUP(B19,Testing!$B$43:$B$71,Testing!$J$43:$J$71)</f>
        <v>1889.7871706889789</v>
      </c>
      <c r="G19" s="174">
        <f>+F19 * 12</f>
        <v>22677.446048267746</v>
      </c>
      <c r="H19" s="175">
        <f>_xlfn.XLOOKUP(B19,Testing!$B$43:$B$71,Testing!$M$43:$M$71)</f>
        <v>0</v>
      </c>
    </row>
    <row r="20" spans="2:8" s="142" customFormat="1" ht="15.75" customHeight="1">
      <c r="B20" s="172" t="s">
        <v>100</v>
      </c>
      <c r="C20" s="173"/>
      <c r="D20" s="173">
        <f>_xlfn.XLOOKUP(B20,Testing!$B$43:$B$71,Testing!$H$43:$H$71)</f>
        <v>500000</v>
      </c>
      <c r="E20" s="173">
        <f>_xlfn.XLOOKUP(B20,Testing!$B$43:$B$71,Testing!$I$43:$I$71)</f>
        <v>525000</v>
      </c>
      <c r="F20" s="174">
        <f>_xlfn.XLOOKUP(B20,Testing!$B$43:$B$71,Testing!$J$43:$J$71)</f>
        <v>3766.4502143958862</v>
      </c>
      <c r="G20" s="174">
        <f>+F20 * 12</f>
        <v>45197.402572750638</v>
      </c>
      <c r="H20" s="175">
        <f>_xlfn.XLOOKUP(B20,Testing!$B$43:$B$71,Testing!$M$43:$M$71)</f>
        <v>8514.2222999999994</v>
      </c>
    </row>
    <row r="21" spans="2:8" s="142" customFormat="1" ht="15.75" customHeight="1">
      <c r="B21" s="172" t="s">
        <v>101</v>
      </c>
      <c r="C21" s="173"/>
      <c r="D21" s="173">
        <f>_xlfn.XLOOKUP(B21,Testing!$B$43:$B$71,Testing!$H$43:$H$71)</f>
        <v>550000</v>
      </c>
      <c r="E21" s="173">
        <f>_xlfn.XLOOKUP(B21,Testing!$B$43:$B$71,Testing!$I$43:$I$71)</f>
        <v>550000</v>
      </c>
      <c r="F21" s="174">
        <f>_xlfn.XLOOKUP(B21,Testing!$B$43:$B$71,Testing!$J$43:$J$71)</f>
        <v>3370.9070072162726</v>
      </c>
      <c r="G21" s="174">
        <f>+F21 * 12</f>
        <v>40450.884086595273</v>
      </c>
      <c r="H21" s="175">
        <f>_xlfn.XLOOKUP(B21,Testing!$B$43:$B$71,Testing!$M$43:$M$71)</f>
        <v>11318.192999999999</v>
      </c>
    </row>
    <row r="22" spans="2:8" s="142" customFormat="1" ht="15.75" customHeight="1">
      <c r="B22" s="172" t="s">
        <v>102</v>
      </c>
      <c r="C22" s="173"/>
      <c r="D22" s="173">
        <f>_xlfn.XLOOKUP(B22,Testing!$B$43:$B$71,Testing!$H$43:$H$71)</f>
        <v>600000</v>
      </c>
      <c r="E22" s="173">
        <f>_xlfn.XLOOKUP(B22,Testing!$B$43:$B$71,Testing!$I$43:$I$71)</f>
        <v>600000</v>
      </c>
      <c r="F22" s="174">
        <f>_xlfn.XLOOKUP(B22,Testing!$B$43:$B$71,Testing!$J$43:$J$71)</f>
        <v>3445.2106779450669</v>
      </c>
      <c r="G22" s="174">
        <f>+F22 * 12</f>
        <v>41342.528135340806</v>
      </c>
      <c r="H22" s="175">
        <f>_xlfn.XLOOKUP(B22,Testing!$B$43:$B$71,Testing!$M$43:$M$71)</f>
        <v>15990.290999999999</v>
      </c>
    </row>
    <row r="23" spans="2:8" s="142" customFormat="1" ht="15.75" customHeight="1">
      <c r="B23" s="172" t="s">
        <v>103</v>
      </c>
      <c r="C23" s="173"/>
      <c r="D23" s="173">
        <f>_xlfn.XLOOKUP(B23,Testing!$B$43:$B$71,Testing!$H$43:$H$71)</f>
        <v>550000</v>
      </c>
      <c r="E23" s="173">
        <f>_xlfn.XLOOKUP(B23,Testing!$B$43:$B$71,Testing!$I$43:$I$71)</f>
        <v>575000</v>
      </c>
      <c r="F23" s="174">
        <f>_xlfn.XLOOKUP(B23,Testing!$B$43:$B$71,Testing!$J$43:$J$71)</f>
        <v>3851.4040779291408</v>
      </c>
      <c r="G23" s="174">
        <f>+F23 * 12</f>
        <v>46216.84893514969</v>
      </c>
      <c r="H23" s="175">
        <f>_xlfn.XLOOKUP(B23,Testing!$B$43:$B$71,Testing!$M$43:$M$71)</f>
        <v>10383.468299999999</v>
      </c>
    </row>
    <row r="24" spans="2:8" s="142" customFormat="1" ht="15.75" customHeight="1">
      <c r="B24" s="172" t="s">
        <v>104</v>
      </c>
      <c r="C24" s="172"/>
      <c r="D24" s="173">
        <f>_xlfn.XLOOKUP(B24,Testing!$B$43:$B$71,Testing!$H$43:$H$71)</f>
        <v>650000</v>
      </c>
      <c r="E24" s="173">
        <f>_xlfn.XLOOKUP(B24,Testing!$B$43:$B$71,Testing!$I$43:$I$71)</f>
        <v>650000</v>
      </c>
      <c r="F24" s="174">
        <f>_xlfn.XLOOKUP(B24,Testing!$B$43:$B$71,Testing!$J$43:$J$71)</f>
        <v>3915.8005925607622</v>
      </c>
      <c r="G24" s="174">
        <v>39028.439466115226</v>
      </c>
      <c r="H24" s="175">
        <f>_xlfn.XLOOKUP(B24,Testing!$B$43:$B$71,Testing!$M$43:$M$71)</f>
        <v>11318.192999999999</v>
      </c>
    </row>
    <row r="25" spans="2:8" s="142" customFormat="1" ht="15.75" customHeight="1">
      <c r="B25" s="172" t="s">
        <v>105</v>
      </c>
      <c r="C25" s="172"/>
      <c r="D25" s="173">
        <f>_xlfn.XLOOKUP(B25,Testing!$B$43:$B$71,Testing!$H$43:$H$71)</f>
        <v>650000</v>
      </c>
      <c r="E25" s="173">
        <f>_xlfn.XLOOKUP(B25,Testing!$B$43:$B$71,Testing!$I$43:$I$71)</f>
        <v>675000</v>
      </c>
      <c r="F25" s="174">
        <f>_xlfn.XLOOKUP(B25,Testing!$B$43:$B$71,Testing!$J$43:$J$71)</f>
        <v>4084.2222462126952</v>
      </c>
      <c r="G25" s="174">
        <v>39028.439466115226</v>
      </c>
      <c r="H25" s="175">
        <f>_xlfn.XLOOKUP(B25,Testing!$B$43:$B$71,Testing!$M$43:$M$71)</f>
        <v>12252.7143</v>
      </c>
    </row>
    <row r="26" spans="2:8" s="142" customFormat="1" ht="15.75" customHeight="1">
      <c r="B26" s="172" t="s">
        <v>106</v>
      </c>
      <c r="C26" s="173"/>
      <c r="D26" s="173">
        <f>_xlfn.XLOOKUP(B26,Testing!$B$43:$B$71,Testing!$H$43:$H$71)</f>
        <v>675000</v>
      </c>
      <c r="E26" s="173">
        <f>_xlfn.XLOOKUP(B26,Testing!$B$43:$B$71,Testing!$I$43:$I$71)</f>
        <v>675000</v>
      </c>
      <c r="F26" s="174">
        <f>_xlfn.XLOOKUP(B26,Testing!$B$43:$B$71,Testing!$J$43:$J$71)</f>
        <v>4188.2473852330068</v>
      </c>
      <c r="G26" s="174">
        <f t="shared" ref="G26:G39" si="0">+F26 * 12</f>
        <v>50258.968622796077</v>
      </c>
      <c r="H26" s="175">
        <f>_xlfn.XLOOKUP(B26,Testing!$B$43:$B$71,Testing!$M$43:$M$71)</f>
        <v>16924.913999999997</v>
      </c>
    </row>
    <row r="27" spans="2:8" s="142" customFormat="1" ht="15.75" customHeight="1">
      <c r="B27" s="172" t="s">
        <v>107</v>
      </c>
      <c r="C27" s="173"/>
      <c r="D27" s="173">
        <f>_xlfn.XLOOKUP(B27,Testing!$B$43:$B$71,Testing!$H$43:$H$71)</f>
        <v>625000</v>
      </c>
      <c r="E27" s="173">
        <f>_xlfn.XLOOKUP(B27,Testing!$B$43:$B$71,Testing!$I$43:$I$71)</f>
        <v>625000</v>
      </c>
      <c r="F27" s="174">
        <f>_xlfn.XLOOKUP(B27,Testing!$B$43:$B$71,Testing!$J$43:$J$71)</f>
        <v>3618.5859096455861</v>
      </c>
      <c r="G27" s="174">
        <f t="shared" si="0"/>
        <v>43423.030915747033</v>
      </c>
      <c r="H27" s="175">
        <f>_xlfn.XLOOKUP(B27,Testing!$B$43:$B$71,Testing!$M$43:$M$71)</f>
        <v>11214.458999999999</v>
      </c>
    </row>
    <row r="28" spans="2:8" s="142" customFormat="1" ht="15.75" customHeight="1">
      <c r="B28" s="172" t="s">
        <v>108</v>
      </c>
      <c r="C28" s="173"/>
      <c r="D28" s="173">
        <f>_xlfn.XLOOKUP(B28,Testing!$B$43:$B$71,Testing!$H$43:$H$71)</f>
        <v>675000</v>
      </c>
      <c r="E28" s="173">
        <f>_xlfn.XLOOKUP(B28,Testing!$B$43:$B$71,Testing!$I$43:$I$71)</f>
        <v>675000</v>
      </c>
      <c r="F28" s="174">
        <f>_xlfn.XLOOKUP(B28,Testing!$B$43:$B$71,Testing!$J$43:$J$71)</f>
        <v>4118.8972925527996</v>
      </c>
      <c r="G28" s="174">
        <f t="shared" si="0"/>
        <v>49426.767510633596</v>
      </c>
      <c r="H28" s="175">
        <f>_xlfn.XLOOKUP(B28,Testing!$B$43:$B$71,Testing!$M$43:$M$71)</f>
        <v>13187.438999999998</v>
      </c>
    </row>
    <row r="29" spans="2:8" s="142" customFormat="1" ht="15.75" customHeight="1">
      <c r="B29" s="172" t="s">
        <v>109</v>
      </c>
      <c r="C29" s="173"/>
      <c r="D29" s="173">
        <f>_xlfn.XLOOKUP(B29,Testing!$B$43:$B$71,Testing!$H$43:$H$71)</f>
        <v>700000</v>
      </c>
      <c r="E29" s="173">
        <f>_xlfn.XLOOKUP(B29,Testing!$B$43:$B$71,Testing!$I$43:$I$71)</f>
        <v>700000</v>
      </c>
      <c r="F29" s="174">
        <f>_xlfn.XLOOKUP(B29,Testing!$B$43:$B$71,Testing!$J$43:$J$71)</f>
        <v>4019.8257315810738</v>
      </c>
      <c r="G29" s="174">
        <f t="shared" si="0"/>
        <v>48237.908778972887</v>
      </c>
      <c r="H29" s="175">
        <f>_xlfn.XLOOKUP(B29,Testing!$B$43:$B$71,Testing!$M$43:$M$71)</f>
        <v>12252.815999999999</v>
      </c>
    </row>
    <row r="30" spans="2:8" s="142" customFormat="1" ht="15.75" customHeight="1">
      <c r="B30" s="172" t="s">
        <v>110</v>
      </c>
      <c r="C30" s="173"/>
      <c r="D30" s="173">
        <f>_xlfn.XLOOKUP(B30,Testing!$B$43:$B$71,Testing!$H$43:$H$71)</f>
        <v>650000</v>
      </c>
      <c r="E30" s="173">
        <f>_xlfn.XLOOKUP(B30,Testing!$B$43:$B$71,Testing!$I$43:$I$71)</f>
        <v>675000</v>
      </c>
      <c r="F30" s="174">
        <f>_xlfn.XLOOKUP(B30,Testing!$B$43:$B$71,Testing!$J$43:$J$71)</f>
        <v>4118.8972925527996</v>
      </c>
      <c r="G30" s="174">
        <f t="shared" si="0"/>
        <v>49426.767510633596</v>
      </c>
      <c r="H30" s="175">
        <f>_xlfn.XLOOKUP(B30,Testing!$B$43:$B$71,Testing!$M$43:$M$71)</f>
        <v>12252.7143</v>
      </c>
    </row>
    <row r="31" spans="2:8" s="142" customFormat="1" ht="15.75" customHeight="1">
      <c r="B31" s="172" t="s">
        <v>111</v>
      </c>
      <c r="C31" s="173"/>
      <c r="D31" s="173">
        <f>_xlfn.XLOOKUP(B31,Testing!$B$43:$B$71,Testing!$H$43:$H$71)</f>
        <v>650000</v>
      </c>
      <c r="E31" s="173">
        <f>_xlfn.XLOOKUP(B31,Testing!$B$43:$B$71,Testing!$I$43:$I$71)</f>
        <v>650000</v>
      </c>
      <c r="F31" s="174">
        <f>_xlfn.XLOOKUP(B31,Testing!$B$43:$B$71,Testing!$J$43:$J$71)</f>
        <v>3925.7077486579346</v>
      </c>
      <c r="G31" s="174">
        <f t="shared" si="0"/>
        <v>47108.492983895216</v>
      </c>
      <c r="H31" s="175">
        <f>_xlfn.XLOOKUP(B31,Testing!$B$43:$B$71,Testing!$M$43:$M$71)</f>
        <v>15990.290999999999</v>
      </c>
    </row>
    <row r="32" spans="2:8" s="142" customFormat="1" ht="15.75" customHeight="1">
      <c r="B32" s="172" t="s">
        <v>112</v>
      </c>
      <c r="C32" s="173"/>
      <c r="D32" s="173">
        <f>_xlfn.XLOOKUP(B32,Testing!$B$43:$B$71,Testing!$H$43:$H$71)</f>
        <v>675000</v>
      </c>
      <c r="E32" s="173">
        <f>_xlfn.XLOOKUP(B32,Testing!$B$43:$B$71,Testing!$I$43:$I$71)</f>
        <v>675000</v>
      </c>
      <c r="F32" s="174">
        <f>_xlfn.XLOOKUP(B32,Testing!$B$43:$B$71,Testing!$J$43:$J$71)</f>
        <v>3900.9398584150031</v>
      </c>
      <c r="G32" s="174">
        <f t="shared" si="0"/>
        <v>46811.278300980033</v>
      </c>
      <c r="H32" s="175">
        <f>_xlfn.XLOOKUP(B32,Testing!$B$43:$B$71,Testing!$M$43:$M$71)</f>
        <v>14122.061999999998</v>
      </c>
    </row>
    <row r="33" spans="2:8" s="142" customFormat="1" ht="15.75" customHeight="1">
      <c r="B33" s="172" t="s">
        <v>113</v>
      </c>
      <c r="C33" s="173"/>
      <c r="D33" s="173">
        <f>_xlfn.XLOOKUP(B33,Testing!$B$43:$B$71,Testing!$H$43:$H$71)</f>
        <v>750000</v>
      </c>
      <c r="E33" s="173">
        <f>_xlfn.XLOOKUP(B33,Testing!$B$43:$B$71,Testing!$I$43:$I$71)</f>
        <v>750000</v>
      </c>
      <c r="F33" s="174">
        <f>_xlfn.XLOOKUP(B33,Testing!$B$43:$B$71,Testing!$J$43:$J$71)</f>
        <v>4059.4543559697636</v>
      </c>
      <c r="G33" s="174">
        <f t="shared" si="0"/>
        <v>48713.452271637165</v>
      </c>
      <c r="H33" s="175">
        <f>_xlfn.XLOOKUP(B33,Testing!$B$43:$B$71,Testing!$M$43:$M$71)</f>
        <v>15990.290999999999</v>
      </c>
    </row>
    <row r="34" spans="2:8" s="142" customFormat="1" ht="15.75" customHeight="1">
      <c r="B34" s="172" t="s">
        <v>114</v>
      </c>
      <c r="C34" s="173"/>
      <c r="D34" s="173">
        <f>_xlfn.XLOOKUP(B34,Testing!$B$43:$B$71,Testing!$H$43:$H$71)</f>
        <v>775000</v>
      </c>
      <c r="E34" s="173">
        <f>_xlfn.XLOOKUP(B34,Testing!$B$43:$B$71,Testing!$I$43:$I$71)</f>
        <v>775000</v>
      </c>
      <c r="F34" s="174">
        <f>_xlfn.XLOOKUP(B34,Testing!$B$43:$B$71,Testing!$J$43:$J$71)</f>
        <v>4426.0191315651482</v>
      </c>
      <c r="G34" s="174">
        <f t="shared" si="0"/>
        <v>53112.229578781778</v>
      </c>
      <c r="H34" s="175">
        <f>_xlfn.XLOOKUP(B34,Testing!$B$43:$B$71,Testing!$M$43:$M$71)</f>
        <v>16924.913999999997</v>
      </c>
    </row>
    <row r="35" spans="2:8" s="142" customFormat="1" ht="15.75" customHeight="1">
      <c r="B35" s="172" t="s">
        <v>115</v>
      </c>
      <c r="C35" s="173"/>
      <c r="D35" s="173">
        <f>_xlfn.XLOOKUP(B35,Testing!$B$43:$B$71,Testing!$H$43:$H$71)</f>
        <v>775000</v>
      </c>
      <c r="E35" s="173">
        <f>_xlfn.XLOOKUP(B35,Testing!$B$43:$B$71,Testing!$I$43:$I$71)</f>
        <v>775000</v>
      </c>
      <c r="F35" s="174">
        <f>_xlfn.XLOOKUP(B35,Testing!$B$43:$B$71,Testing!$J$43:$J$71)</f>
        <v>4480.5084900995962</v>
      </c>
      <c r="G35" s="174">
        <f t="shared" si="0"/>
        <v>53766.101881195151</v>
      </c>
      <c r="H35" s="175">
        <f>_xlfn.XLOOKUP(B35,Testing!$B$43:$B$71,Testing!$M$43:$M$71)</f>
        <v>17859.536999999997</v>
      </c>
    </row>
    <row r="36" spans="2:8" s="142" customFormat="1" ht="15.75" customHeight="1">
      <c r="B36" s="172" t="s">
        <v>116</v>
      </c>
      <c r="C36" s="173"/>
      <c r="D36" s="173">
        <f>_xlfn.XLOOKUP(B36,Testing!$B$43:$B$71,Testing!$H$43:$H$71)</f>
        <v>800000</v>
      </c>
      <c r="E36" s="173">
        <f>_xlfn.XLOOKUP(B36,Testing!$B$43:$B$71,Testing!$I$43:$I$71)</f>
        <v>800000</v>
      </c>
      <c r="F36" s="174">
        <f>_xlfn.XLOOKUP(B36,Testing!$B$43:$B$71,Testing!$J$43:$J$71)</f>
        <v>4208.0616974273526</v>
      </c>
      <c r="G36" s="174">
        <f t="shared" si="0"/>
        <v>50496.740369128231</v>
      </c>
      <c r="H36" s="175">
        <f>_xlfn.XLOOKUP(B36,Testing!$B$43:$B$71,Testing!$M$43:$M$71)</f>
        <v>15990.290999999999</v>
      </c>
    </row>
    <row r="37" spans="2:8" s="142" customFormat="1" ht="15.75" customHeight="1">
      <c r="B37" s="172" t="s">
        <v>117</v>
      </c>
      <c r="C37" s="173"/>
      <c r="D37" s="173">
        <f>_xlfn.XLOOKUP(B37,Testing!$B$43:$B$71,Testing!$H$43:$H$71)</f>
        <v>750000</v>
      </c>
      <c r="E37" s="173">
        <f>_xlfn.XLOOKUP(B37,Testing!$B$43:$B$71,Testing!$I$43:$I$71)</f>
        <v>750000</v>
      </c>
      <c r="F37" s="174">
        <f>_xlfn.XLOOKUP(B37,Testing!$B$43:$B$71,Testing!$J$43:$J$71)</f>
        <v>3955.4292169494524</v>
      </c>
      <c r="G37" s="174">
        <f t="shared" si="0"/>
        <v>47465.150603393427</v>
      </c>
      <c r="H37" s="175">
        <f>_xlfn.XLOOKUP(B37,Testing!$B$43:$B$71,Testing!$M$43:$M$71)</f>
        <v>15990.290999999999</v>
      </c>
    </row>
    <row r="38" spans="2:8" s="142" customFormat="1" ht="15.75" customHeight="1">
      <c r="B38" s="172" t="s">
        <v>118</v>
      </c>
      <c r="C38" s="173"/>
      <c r="D38" s="173">
        <f>_xlfn.XLOOKUP(B38,Testing!$B$43:$B$71,Testing!$H$43:$H$71)</f>
        <v>825000</v>
      </c>
      <c r="E38" s="173">
        <f>_xlfn.XLOOKUP(B38,Testing!$B$43:$B$71,Testing!$I$43:$I$71)</f>
        <v>825000</v>
      </c>
      <c r="F38" s="174">
        <f>_xlfn.XLOOKUP(B38,Testing!$B$43:$B$71,Testing!$J$43:$J$71)</f>
        <v>4118.8972925527996</v>
      </c>
      <c r="G38" s="174">
        <f t="shared" si="0"/>
        <v>49426.767510633596</v>
      </c>
      <c r="H38" s="175">
        <f>_xlfn.XLOOKUP(B38,Testing!$B$43:$B$71,Testing!$M$43:$M$71)</f>
        <v>17859.536999999997</v>
      </c>
    </row>
    <row r="39" spans="2:8" s="142" customFormat="1" ht="15.75" customHeight="1">
      <c r="B39" s="172" t="s">
        <v>119</v>
      </c>
      <c r="C39" s="173"/>
      <c r="D39" s="173">
        <f>_xlfn.XLOOKUP(B39,Testing!$B$43:$B$71,Testing!$H$43:$H$71)</f>
        <v>825000</v>
      </c>
      <c r="E39" s="173">
        <f>_xlfn.XLOOKUP(B39,Testing!$B$43:$B$71,Testing!$I$43:$I$71)</f>
        <v>825000</v>
      </c>
      <c r="F39" s="174">
        <f>_xlfn.XLOOKUP(B39,Testing!$B$43:$B$71,Testing!$J$43:$J$71)</f>
        <v>4668.7444559458745</v>
      </c>
      <c r="G39" s="174">
        <f t="shared" si="0"/>
        <v>56024.933471350494</v>
      </c>
      <c r="H39" s="175">
        <f>_xlfn.XLOOKUP(B39,Testing!$B$43:$B$71,Testing!$M$43:$M$71)</f>
        <v>20663.405999999999</v>
      </c>
    </row>
    <row r="40" spans="2:8" s="142" customFormat="1" ht="15.75" customHeight="1">
      <c r="B40" s="172" t="s">
        <v>120</v>
      </c>
      <c r="C40" s="172"/>
      <c r="D40" s="173">
        <f>_xlfn.XLOOKUP(B40,Testing!$B$43:$B$71,Testing!$H$43:$H$71)</f>
        <v>850000</v>
      </c>
      <c r="E40" s="173">
        <f>_xlfn.XLOOKUP(B40,Testing!$B$43:$B$71,Testing!$I$43:$I$71)</f>
        <v>850000</v>
      </c>
      <c r="F40" s="174">
        <f>_xlfn.XLOOKUP(B40,Testing!$B$43:$B$71,Testing!$J$43:$J$71)</f>
        <v>4495.3692242453553</v>
      </c>
      <c r="G40" s="174">
        <v>53078.677673916711</v>
      </c>
      <c r="H40" s="175">
        <f>_xlfn.XLOOKUP(B40,Testing!$B$43:$B$71,Testing!$M$43:$M$71)</f>
        <v>20663.405999999999</v>
      </c>
    </row>
    <row r="41" spans="2:8" s="142" customFormat="1" ht="15.75" customHeight="1">
      <c r="B41" s="172" t="s">
        <v>121</v>
      </c>
      <c r="C41" s="173"/>
      <c r="D41" s="173">
        <f>_xlfn.XLOOKUP(B41,Testing!$B$43:$B$71,Testing!$H$43:$H$71)</f>
        <v>850000</v>
      </c>
      <c r="E41" s="173">
        <f>_xlfn.XLOOKUP(B41,Testing!$B$43:$B$71,Testing!$I$43:$I$71)</f>
        <v>850000</v>
      </c>
      <c r="F41" s="174">
        <f>_xlfn.XLOOKUP(B41,Testing!$B$43:$B$71,Testing!$J$43:$J$71)</f>
        <v>5040.2628095898444</v>
      </c>
      <c r="G41" s="174">
        <f>+F41 * 12</f>
        <v>60483.153715078137</v>
      </c>
      <c r="H41" s="175">
        <f>_xlfn.XLOOKUP(B41,Testing!$B$43:$B$71,Testing!$M$43:$M$71)</f>
        <v>23467.274999999998</v>
      </c>
    </row>
    <row r="42" spans="2:8" s="142" customFormat="1" ht="15.75" customHeight="1">
      <c r="B42" s="172" t="s">
        <v>122</v>
      </c>
      <c r="C42" s="172"/>
      <c r="D42" s="173">
        <f>_xlfn.XLOOKUP(B42,Testing!$B$43:$B$71,Testing!$H$43:$H$71)</f>
        <v>850000</v>
      </c>
      <c r="E42" s="173">
        <f>_xlfn.XLOOKUP(B42,Testing!$B$43:$B$71,Testing!$I$43:$I$71)</f>
        <v>850000</v>
      </c>
      <c r="F42" s="174">
        <f>_xlfn.XLOOKUP(B42,Testing!$B$43:$B$71,Testing!$J$43:$J$71)</f>
        <v>4961.0055608124649</v>
      </c>
      <c r="G42" s="174">
        <v>59323.227988495149</v>
      </c>
      <c r="H42" s="175">
        <f>_xlfn.XLOOKUP(B42,Testing!$B$43:$B$71,Testing!$M$43:$M$71)</f>
        <v>22532.651999999998</v>
      </c>
    </row>
    <row r="43" spans="2:8" s="142" customFormat="1" ht="15.75" customHeight="1">
      <c r="B43" s="172" t="s">
        <v>123</v>
      </c>
      <c r="C43" s="173"/>
      <c r="D43" s="173">
        <f>_xlfn.XLOOKUP(B43,Testing!$B$43:$B$71,Testing!$H$43:$H$71)</f>
        <v>1050000</v>
      </c>
      <c r="E43" s="173">
        <f>_xlfn.XLOOKUP(B43,Testing!$B$43:$B$71,Testing!$I$43:$I$71)</f>
        <v>1050000</v>
      </c>
      <c r="F43" s="174">
        <f>_xlfn.XLOOKUP(B43,Testing!$B$43:$B$71,Testing!$J$43:$J$71)</f>
        <v>6001.2569510155809</v>
      </c>
      <c r="G43" s="174">
        <f>+F43 * 12</f>
        <v>72015.08341218697</v>
      </c>
      <c r="H43" s="175">
        <f>_xlfn.XLOOKUP(B43,Testing!$B$43:$B$71,Testing!$M$43:$M$71)</f>
        <v>28243.106999999996</v>
      </c>
    </row>
    <row r="44" spans="2:8" s="142" customFormat="1" ht="15.75" customHeight="1">
      <c r="B44" s="172" t="s">
        <v>124</v>
      </c>
      <c r="C44" s="173"/>
      <c r="D44" s="173">
        <f>_xlfn.XLOOKUP(B44,Testing!$B$43:$B$71,Testing!$H$43:$H$71)</f>
        <v>925000</v>
      </c>
      <c r="E44" s="173">
        <f>_xlfn.XLOOKUP(B44,Testing!$B$43:$B$71,Testing!$I$43:$I$71)</f>
        <v>925000</v>
      </c>
      <c r="F44" s="174">
        <f>_xlfn.XLOOKUP(B44,Testing!$B$43:$B$71,Testing!$J$43:$J$71)</f>
        <v>5134.380792512984</v>
      </c>
      <c r="G44" s="174">
        <f>+F44 * 12</f>
        <v>61612.569510155809</v>
      </c>
      <c r="H44" s="175">
        <f>_xlfn.XLOOKUP(B44,Testing!$B$43:$B$71,Testing!$M$43:$M$71)</f>
        <v>25335.503999999997</v>
      </c>
    </row>
    <row r="45" spans="2:8" s="142" customFormat="1" ht="15.75" customHeight="1">
      <c r="B45" s="172" t="s">
        <v>125</v>
      </c>
      <c r="C45" s="173"/>
      <c r="D45" s="173">
        <f>_xlfn.XLOOKUP(B45,Testing!$B$43:$B$71,Testing!$H$43:$H$71)</f>
        <v>1000000</v>
      </c>
      <c r="E45" s="173">
        <f>_xlfn.XLOOKUP(B45,Testing!$B$43:$B$71,Testing!$I$43:$I$71)</f>
        <v>1000000</v>
      </c>
      <c r="F45" s="174">
        <f>_xlfn.XLOOKUP(B45,Testing!$B$43:$B$71,Testing!$J$43:$J$71)</f>
        <v>5391.9668510394695</v>
      </c>
      <c r="G45" s="174">
        <f>+F45 * 12</f>
        <v>64703.602212473634</v>
      </c>
      <c r="H45" s="175">
        <f>_xlfn.XLOOKUP(B45,Testing!$B$43:$B$71,Testing!$M$43:$M$71)</f>
        <v>30112.352999999996</v>
      </c>
    </row>
    <row r="46" spans="2:8" s="142" customFormat="1" ht="15.75" customHeight="1">
      <c r="B46" s="172" t="s">
        <v>126</v>
      </c>
      <c r="C46" s="173"/>
      <c r="D46" s="173">
        <f>_xlfn.XLOOKUP(B46,Testing!$B$43:$B$71,Testing!$H$43:$H$71)</f>
        <v>1075000</v>
      </c>
      <c r="E46" s="173">
        <f>_xlfn.XLOOKUP(B46,Testing!$B$43:$B$71,Testing!$I$43:$I$71)</f>
        <v>1075000</v>
      </c>
      <c r="F46" s="174">
        <f>_xlfn.XLOOKUP(B46,Testing!$B$43:$B$71,Testing!$J$43:$J$71)</f>
        <v>5545.5277705456438</v>
      </c>
      <c r="G46" s="174">
        <f>+F46 * 12</f>
        <v>66546.333246547729</v>
      </c>
      <c r="H46" s="175">
        <f>_xlfn.XLOOKUP(B46,Testing!$B$43:$B$71,Testing!$M$43:$M$71)</f>
        <v>30112.352999999996</v>
      </c>
    </row>
    <row r="47" spans="2:8" s="142" customFormat="1" ht="15.75" customHeight="1">
      <c r="B47" s="172" t="s">
        <v>127</v>
      </c>
      <c r="C47" s="172"/>
      <c r="D47" s="173">
        <f>_xlfn.XLOOKUP(B47,Testing!$B$43:$B$71,Testing!$H$43:$H$71)</f>
        <v>1100000</v>
      </c>
      <c r="E47" s="173">
        <f>_xlfn.XLOOKUP(B47,Testing!$B$43:$B$71,Testing!$I$43:$I$71)</f>
        <v>1100000</v>
      </c>
      <c r="F47" s="174">
        <f>_xlfn.XLOOKUP(B47,Testing!$B$43:$B$71,Testing!$J$43:$J$71)</f>
        <v>6135.0035583274093</v>
      </c>
      <c r="G47" s="174">
        <v>76495.74135358585</v>
      </c>
      <c r="H47" s="175">
        <f>_xlfn.XLOOKUP(B47,Testing!$B$43:$B$71,Testing!$M$43:$M$71)</f>
        <v>33850.844999999994</v>
      </c>
    </row>
    <row r="48" spans="2:8" s="78" customFormat="1" ht="15" customHeight="1">
      <c r="B48" s="126"/>
      <c r="C48" s="126"/>
      <c r="D48" s="126"/>
      <c r="E48" s="126"/>
      <c r="F48" s="126"/>
      <c r="G48" s="126"/>
      <c r="H48" s="126"/>
    </row>
    <row r="49" spans="2:13" s="105" customFormat="1" ht="15.75" customHeight="1">
      <c r="B49" s="123" t="s">
        <v>128</v>
      </c>
      <c r="C49" s="157"/>
      <c r="D49" s="157"/>
      <c r="E49" s="157"/>
      <c r="F49" s="157"/>
      <c r="G49" s="157"/>
      <c r="H49" s="123"/>
      <c r="I49" s="157"/>
      <c r="J49" s="157"/>
      <c r="K49" s="157"/>
      <c r="L49" s="157"/>
      <c r="M49" s="123"/>
    </row>
    <row r="50" spans="2:13" s="105" customFormat="1" ht="15.75" customHeight="1">
      <c r="B50" s="157" t="s">
        <v>129</v>
      </c>
      <c r="C50" s="157"/>
      <c r="D50" s="157"/>
      <c r="E50" s="157"/>
      <c r="F50" s="157"/>
      <c r="G50" s="157"/>
      <c r="H50" s="157"/>
      <c r="I50" s="157"/>
      <c r="J50" s="157"/>
      <c r="K50" s="157"/>
      <c r="L50" s="157"/>
      <c r="M50" s="157"/>
    </row>
    <row r="51" spans="2:13" s="105" customFormat="1" ht="15.75" customHeight="1">
      <c r="B51" s="157" t="s">
        <v>130</v>
      </c>
      <c r="C51" s="157"/>
      <c r="D51" s="157"/>
      <c r="E51" s="157"/>
      <c r="F51" s="157"/>
      <c r="G51" s="157"/>
      <c r="H51" s="157"/>
      <c r="I51" s="157"/>
      <c r="J51" s="157"/>
      <c r="K51" s="157"/>
      <c r="L51" s="157"/>
      <c r="M51" s="157"/>
    </row>
    <row r="52" spans="2:13" s="105" customFormat="1" ht="15.75" customHeight="1">
      <c r="B52" s="157" t="s">
        <v>131</v>
      </c>
      <c r="C52" s="157"/>
      <c r="D52" s="157"/>
      <c r="E52" s="157"/>
      <c r="F52" s="157"/>
      <c r="G52" s="157"/>
      <c r="H52" s="157"/>
      <c r="I52" s="157"/>
      <c r="J52" s="157"/>
      <c r="K52" s="157"/>
      <c r="L52" s="157"/>
      <c r="M52" s="157"/>
    </row>
    <row r="53" spans="2:13" s="105" customFormat="1" ht="15.75" customHeight="1">
      <c r="B53" s="157" t="s">
        <v>132</v>
      </c>
      <c r="C53" s="157"/>
      <c r="D53" s="157"/>
      <c r="E53" s="157"/>
      <c r="F53" s="157"/>
      <c r="G53" s="157"/>
      <c r="H53" s="157"/>
      <c r="I53" s="157"/>
      <c r="J53" s="157"/>
      <c r="K53" s="157"/>
      <c r="L53" s="157"/>
      <c r="M53" s="157"/>
    </row>
    <row r="54" spans="2:13" s="105" customFormat="1" ht="15.75" customHeight="1">
      <c r="B54" s="157" t="s">
        <v>133</v>
      </c>
      <c r="C54" s="157"/>
      <c r="D54" s="157"/>
      <c r="E54" s="157"/>
      <c r="F54" s="157"/>
      <c r="G54" s="157"/>
      <c r="H54" s="157"/>
      <c r="I54" s="157"/>
      <c r="J54" s="157"/>
      <c r="K54" s="157"/>
      <c r="L54" s="157"/>
      <c r="M54" s="157"/>
    </row>
    <row r="55" spans="2:13" s="78" customFormat="1" ht="15.75" customHeight="1">
      <c r="B55" s="126"/>
      <c r="C55" s="126"/>
      <c r="D55" s="126"/>
      <c r="E55" s="126"/>
      <c r="F55" s="126"/>
      <c r="G55" s="126"/>
      <c r="H55" s="83"/>
      <c r="I55" s="83"/>
      <c r="J55" s="126"/>
      <c r="K55" s="126"/>
      <c r="L55" s="85"/>
      <c r="M55" s="126"/>
    </row>
    <row r="56" spans="2:13" ht="15.75" customHeight="1">
      <c r="B56" s="2"/>
      <c r="C56" s="6"/>
      <c r="D56" s="6"/>
      <c r="E56" s="6"/>
      <c r="F56" s="6"/>
      <c r="G56" s="6"/>
      <c r="H56" s="12"/>
      <c r="I56" s="13"/>
      <c r="J56" s="6"/>
      <c r="K56" s="6"/>
      <c r="L56" s="6"/>
    </row>
    <row r="97" spans="2:2" ht="15.75" customHeight="1">
      <c r="B97" s="2"/>
    </row>
    <row r="98" spans="2:2" ht="15.75" customHeight="1">
      <c r="B98" s="18"/>
    </row>
  </sheetData>
  <sheetProtection algorithmName="SHA-512" hashValue="JUTNj7nE+RP55LjFpRua/WD3QBg3cIG6nNxMnRlBM0u1CeB8Vo3CD5qtJOkHKO9jpvXxAI3+DUWKmpe/2WPLhw==" saltValue="AsLGGTRoxVzvT7Mr5TE9rA==" spinCount="100000" sheet="1" objects="1" scenarios="1"/>
  <mergeCells count="1">
    <mergeCell ref="B5:I5"/>
  </mergeCells>
  <hyperlinks>
    <hyperlink ref="B8" r:id="rId1" xr:uid="{00000000-0004-0000-0100-000000000000}"/>
  </hyperlinks>
  <pageMargins left="0.75" right="0.75" top="1" bottom="1"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EFFB4"/>
    <pageSetUpPr fitToPage="1"/>
  </sheetPr>
  <dimension ref="B2:M38"/>
  <sheetViews>
    <sheetView topLeftCell="A2" zoomScaleNormal="100" workbookViewId="0">
      <selection activeCell="I17" sqref="I17"/>
    </sheetView>
  </sheetViews>
  <sheetFormatPr defaultColWidth="10.07421875" defaultRowHeight="15" customHeight="1"/>
  <cols>
    <col min="1" max="1" width="2.69140625" customWidth="1"/>
    <col min="2" max="2" width="39.07421875" customWidth="1"/>
    <col min="3" max="3" width="12.07421875" customWidth="1"/>
    <col min="4" max="4" width="4.23046875" customWidth="1"/>
    <col min="5" max="5" width="25.3046875" customWidth="1"/>
    <col min="6" max="6" width="10.69140625" customWidth="1"/>
    <col min="7" max="7" width="3.69140625" customWidth="1"/>
    <col min="8" max="8" width="24.84375" customWidth="1"/>
    <col min="9" max="9" width="10.69140625" customWidth="1"/>
    <col min="10" max="10" width="4.3046875" customWidth="1"/>
    <col min="11" max="11" width="21.69140625" customWidth="1"/>
    <col min="12" max="26" width="10.69140625" customWidth="1"/>
  </cols>
  <sheetData>
    <row r="2" spans="2:13" ht="28">
      <c r="B2" s="19" t="s">
        <v>83</v>
      </c>
      <c r="C2" s="20"/>
      <c r="D2" s="20"/>
      <c r="E2" s="20"/>
      <c r="F2" s="20"/>
      <c r="G2" s="20"/>
      <c r="H2" s="20"/>
      <c r="I2" s="20"/>
      <c r="J2" s="20"/>
      <c r="K2" s="20"/>
      <c r="L2" s="20"/>
    </row>
    <row r="3" spans="2:13" ht="28">
      <c r="B3" s="19" t="s">
        <v>134</v>
      </c>
      <c r="C3" s="20"/>
      <c r="D3" s="20"/>
      <c r="E3" s="20"/>
      <c r="F3" s="20"/>
      <c r="G3" s="20"/>
      <c r="H3" s="20"/>
      <c r="I3" s="20"/>
      <c r="J3" s="20"/>
      <c r="K3" s="20"/>
      <c r="L3" s="20"/>
    </row>
    <row r="4" spans="2:13" ht="28">
      <c r="B4" s="19" t="s">
        <v>135</v>
      </c>
      <c r="C4" s="20"/>
      <c r="D4" s="20"/>
      <c r="E4" s="20"/>
      <c r="F4" s="20"/>
      <c r="G4" s="20"/>
      <c r="H4" s="20"/>
      <c r="I4" s="20"/>
      <c r="J4" s="20"/>
      <c r="K4" s="20"/>
      <c r="L4" s="20"/>
    </row>
    <row r="5" spans="2:13" ht="15.75" customHeight="1">
      <c r="B5" s="2"/>
      <c r="C5" s="2"/>
      <c r="D5" s="2"/>
      <c r="E5" s="2"/>
      <c r="F5" s="2"/>
      <c r="G5" s="2"/>
      <c r="H5" s="2"/>
      <c r="I5" s="2"/>
      <c r="J5" s="2"/>
      <c r="K5" s="2"/>
      <c r="L5" s="2"/>
      <c r="M5" s="2"/>
    </row>
    <row r="6" spans="2:13" s="85" customFormat="1" ht="15.75" customHeight="1">
      <c r="B6" s="83" t="s">
        <v>136</v>
      </c>
      <c r="C6" s="84"/>
      <c r="E6" s="83" t="s">
        <v>137</v>
      </c>
      <c r="F6" s="84"/>
      <c r="H6" s="83" t="s">
        <v>138</v>
      </c>
      <c r="K6" s="83" t="s">
        <v>139</v>
      </c>
      <c r="L6" s="86"/>
    </row>
    <row r="7" spans="2:13" s="145" customFormat="1" ht="15.75" customHeight="1">
      <c r="B7" s="143" t="s">
        <v>140</v>
      </c>
      <c r="C7" s="144">
        <f>Variables!D16</f>
        <v>7787.677499999998</v>
      </c>
      <c r="E7" s="143" t="s">
        <v>141</v>
      </c>
      <c r="F7" s="146">
        <f>Variables!D17</f>
        <v>934.52129999999977</v>
      </c>
      <c r="H7" s="145" t="s">
        <v>142</v>
      </c>
      <c r="I7" s="146">
        <f>Variables!D20</f>
        <v>1453.6997999999996</v>
      </c>
      <c r="K7" s="145" t="s">
        <v>143</v>
      </c>
      <c r="L7" s="146">
        <f>Variables!D10</f>
        <v>1016.9999999999999</v>
      </c>
    </row>
    <row r="8" spans="2:13" s="145" customFormat="1" ht="15.75" customHeight="1">
      <c r="C8" s="147"/>
      <c r="H8" s="145" t="s">
        <v>144</v>
      </c>
      <c r="I8" s="148">
        <f>Variables!D21</f>
        <v>2907.3995999999993</v>
      </c>
      <c r="K8" s="145" t="s">
        <v>145</v>
      </c>
      <c r="L8" s="149">
        <f>Variables!D11</f>
        <v>3218.9066999999995</v>
      </c>
    </row>
    <row r="9" spans="2:13" s="145" customFormat="1" ht="15.75" customHeight="1">
      <c r="B9" s="145" t="s">
        <v>146</v>
      </c>
      <c r="C9" s="147"/>
      <c r="H9" s="145" t="s">
        <v>147</v>
      </c>
      <c r="I9" s="148">
        <f>Variables!D22</f>
        <v>4361.0993999999992</v>
      </c>
      <c r="K9" s="145" t="s">
        <v>148</v>
      </c>
      <c r="L9" s="149">
        <f>Variables!D12</f>
        <v>6437.8133999999991</v>
      </c>
    </row>
    <row r="10" spans="2:13" s="145" customFormat="1" ht="15.75" customHeight="1">
      <c r="B10" s="145" t="s">
        <v>149</v>
      </c>
      <c r="C10" s="147"/>
      <c r="E10" s="145" t="s">
        <v>150</v>
      </c>
      <c r="H10" s="145" t="s">
        <v>151</v>
      </c>
      <c r="I10" s="148">
        <v>0</v>
      </c>
      <c r="K10" s="145" t="s">
        <v>152</v>
      </c>
      <c r="L10" s="149">
        <f>Variables!D13</f>
        <v>9657</v>
      </c>
    </row>
    <row r="11" spans="2:13" s="145" customFormat="1" ht="15.75" customHeight="1">
      <c r="K11" s="145" t="s">
        <v>153</v>
      </c>
      <c r="L11" s="149">
        <f>Variables!D14</f>
        <v>12876</v>
      </c>
    </row>
    <row r="12" spans="2:13" s="145" customFormat="1" ht="15.75" customHeight="1">
      <c r="K12" s="145" t="s">
        <v>154</v>
      </c>
      <c r="L12" s="149">
        <f>Variables!D15</f>
        <v>16095</v>
      </c>
      <c r="M12" s="147"/>
    </row>
    <row r="13" spans="2:13" s="85" customFormat="1" ht="15.75" customHeight="1"/>
    <row r="14" spans="2:13" s="85" customFormat="1" ht="15.75" customHeight="1">
      <c r="B14" s="85" t="s">
        <v>155</v>
      </c>
      <c r="E14" s="85" t="s">
        <v>156</v>
      </c>
      <c r="H14" s="85" t="s">
        <v>157</v>
      </c>
      <c r="K14" s="85" t="s">
        <v>158</v>
      </c>
    </row>
    <row r="15" spans="2:13" s="85" customFormat="1" ht="15.75" customHeight="1">
      <c r="C15" s="88"/>
      <c r="E15" s="89" t="s">
        <v>159</v>
      </c>
      <c r="F15" s="130">
        <v>2</v>
      </c>
      <c r="I15" s="90"/>
      <c r="L15" s="90"/>
    </row>
    <row r="16" spans="2:13" s="85" customFormat="1" ht="15.75" customHeight="1">
      <c r="B16" s="89" t="s">
        <v>90</v>
      </c>
      <c r="C16" s="128">
        <v>1000</v>
      </c>
      <c r="D16" s="91"/>
      <c r="E16" s="89" t="s">
        <v>160</v>
      </c>
      <c r="F16" s="129">
        <f>IF(F15="More than 10", Variables!D17*10,Variables!D17*F15)</f>
        <v>1869.0425999999995</v>
      </c>
      <c r="G16" s="91"/>
      <c r="H16" s="89" t="s">
        <v>90</v>
      </c>
      <c r="I16" s="128">
        <v>1454</v>
      </c>
      <c r="J16" s="91"/>
      <c r="K16" s="89" t="s">
        <v>90</v>
      </c>
      <c r="L16" s="128">
        <v>9657</v>
      </c>
      <c r="M16" s="91"/>
    </row>
    <row r="17" spans="2:12" s="85" customFormat="1" ht="15" customHeight="1"/>
    <row r="18" spans="2:12" s="85" customFormat="1" ht="15" customHeight="1"/>
    <row r="19" spans="2:12" s="145" customFormat="1" ht="15.75" customHeight="1">
      <c r="B19" s="150" t="s">
        <v>161</v>
      </c>
      <c r="C19" s="151"/>
      <c r="D19" s="151"/>
      <c r="E19" s="150" t="s">
        <v>161</v>
      </c>
      <c r="F19" s="152"/>
      <c r="G19" s="152"/>
      <c r="H19" s="150" t="s">
        <v>161</v>
      </c>
      <c r="I19" s="152"/>
      <c r="J19" s="152"/>
      <c r="K19" s="150" t="s">
        <v>161</v>
      </c>
      <c r="L19" s="151"/>
    </row>
    <row r="20" spans="2:12" s="145" customFormat="1" ht="15.75" customHeight="1">
      <c r="B20" s="145" t="s">
        <v>162</v>
      </c>
      <c r="C20" s="147">
        <v>2500</v>
      </c>
      <c r="E20" s="153" t="s">
        <v>163</v>
      </c>
      <c r="F20" s="147"/>
      <c r="H20" s="145" t="s">
        <v>54</v>
      </c>
      <c r="I20" s="147">
        <f>I7</f>
        <v>1453.6997999999996</v>
      </c>
      <c r="K20" s="145" t="s">
        <v>57</v>
      </c>
      <c r="L20" s="147">
        <f>L7</f>
        <v>1016.9999999999999</v>
      </c>
    </row>
    <row r="21" spans="2:12" s="145" customFormat="1" ht="15.75" customHeight="1">
      <c r="C21" s="147"/>
      <c r="E21" s="154">
        <f>(Variables!D17)</f>
        <v>934.52129999999977</v>
      </c>
      <c r="F21" s="147">
        <f>5*Variables!D17</f>
        <v>4672.606499999999</v>
      </c>
      <c r="I21" s="147"/>
      <c r="L21" s="147"/>
    </row>
    <row r="22" spans="2:12" s="145" customFormat="1" ht="15.75" customHeight="1"/>
    <row r="23" spans="2:12" s="145" customFormat="1" ht="15.75" customHeight="1">
      <c r="B23" s="150" t="s">
        <v>164</v>
      </c>
      <c r="C23" s="152"/>
      <c r="D23" s="152"/>
      <c r="E23" s="150" t="s">
        <v>164</v>
      </c>
      <c r="F23" s="152"/>
      <c r="G23" s="152"/>
      <c r="H23" s="150" t="s">
        <v>164</v>
      </c>
      <c r="I23" s="152"/>
      <c r="J23" s="152"/>
      <c r="K23" s="150" t="s">
        <v>164</v>
      </c>
      <c r="L23" s="152"/>
    </row>
    <row r="24" spans="2:12" s="145" customFormat="1" ht="15.75" customHeight="1">
      <c r="B24" s="145" t="s">
        <v>165</v>
      </c>
      <c r="C24" s="147">
        <v>5000</v>
      </c>
      <c r="E24" s="153" t="s">
        <v>166</v>
      </c>
      <c r="F24" s="147"/>
      <c r="H24" s="145" t="s">
        <v>55</v>
      </c>
      <c r="I24" s="147">
        <f>I8</f>
        <v>2907.3995999999993</v>
      </c>
      <c r="K24" s="145" t="s">
        <v>58</v>
      </c>
      <c r="L24" s="147">
        <f>L9</f>
        <v>6437.8133999999991</v>
      </c>
    </row>
    <row r="25" spans="2:12" s="145" customFormat="1" ht="15.75" customHeight="1">
      <c r="C25" s="147"/>
      <c r="E25" s="154">
        <f>(Variables!D17)</f>
        <v>934.52129999999977</v>
      </c>
      <c r="F25" s="147">
        <f>4*Variables!D17</f>
        <v>3738.0851999999991</v>
      </c>
      <c r="I25" s="147"/>
      <c r="L25" s="147"/>
    </row>
    <row r="26" spans="2:12" s="145" customFormat="1" ht="15.75" customHeight="1">
      <c r="C26" s="147"/>
    </row>
    <row r="27" spans="2:12" s="145" customFormat="1" ht="15.75" customHeight="1">
      <c r="B27" s="150" t="s">
        <v>167</v>
      </c>
      <c r="C27" s="152"/>
      <c r="D27" s="152"/>
      <c r="E27" s="150" t="s">
        <v>167</v>
      </c>
      <c r="F27" s="152"/>
      <c r="G27" s="152"/>
      <c r="H27" s="150" t="s">
        <v>167</v>
      </c>
      <c r="I27" s="152"/>
      <c r="J27" s="152"/>
      <c r="K27" s="150" t="s">
        <v>167</v>
      </c>
      <c r="L27" s="152"/>
    </row>
    <row r="28" spans="2:12" s="145" customFormat="1" ht="15.75" customHeight="1">
      <c r="B28" s="145" t="s">
        <v>168</v>
      </c>
      <c r="C28" s="147">
        <f>Variables!D16</f>
        <v>7787.677499999998</v>
      </c>
      <c r="E28" s="153" t="s">
        <v>169</v>
      </c>
      <c r="F28" s="147"/>
      <c r="H28" s="145" t="s">
        <v>170</v>
      </c>
      <c r="I28" s="147">
        <f>I9</f>
        <v>4361.0993999999992</v>
      </c>
      <c r="K28" s="145" t="s">
        <v>59</v>
      </c>
      <c r="L28" s="147">
        <f>L10</f>
        <v>9657</v>
      </c>
    </row>
    <row r="29" spans="2:12" s="145" customFormat="1" ht="15.75" customHeight="1">
      <c r="C29" s="147"/>
      <c r="E29" s="154">
        <f>(Variables!D17)</f>
        <v>934.52129999999977</v>
      </c>
      <c r="F29" s="147">
        <f>10*Variables!D17</f>
        <v>9345.2129999999979</v>
      </c>
      <c r="I29" s="147"/>
      <c r="L29" s="147"/>
    </row>
    <row r="30" spans="2:12" s="145" customFormat="1" ht="15.75" customHeight="1"/>
    <row r="31" spans="2:12" s="145" customFormat="1" ht="15.75" customHeight="1">
      <c r="B31" s="150" t="s">
        <v>171</v>
      </c>
      <c r="C31" s="152"/>
      <c r="D31" s="152"/>
      <c r="E31" s="150" t="s">
        <v>171</v>
      </c>
      <c r="F31" s="152"/>
      <c r="G31" s="152"/>
      <c r="H31" s="150" t="s">
        <v>171</v>
      </c>
      <c r="I31" s="152"/>
      <c r="J31" s="152"/>
      <c r="K31" s="150" t="s">
        <v>171</v>
      </c>
      <c r="L31" s="152"/>
    </row>
    <row r="32" spans="2:12" s="145" customFormat="1" ht="15.75" customHeight="1">
      <c r="B32" s="145" t="s">
        <v>172</v>
      </c>
      <c r="C32" s="147">
        <v>0</v>
      </c>
      <c r="E32" s="153" t="s">
        <v>173</v>
      </c>
      <c r="F32" s="147"/>
      <c r="H32" s="145" t="s">
        <v>174</v>
      </c>
      <c r="I32" s="147">
        <v>0</v>
      </c>
      <c r="K32" s="145" t="s">
        <v>175</v>
      </c>
      <c r="L32" s="147">
        <f>L11</f>
        <v>12876</v>
      </c>
    </row>
    <row r="33" spans="2:11" s="145" customFormat="1" ht="15.75" customHeight="1">
      <c r="E33" s="154">
        <f>(Variables!D17)</f>
        <v>934.52129999999977</v>
      </c>
      <c r="F33" s="147">
        <f>10*Variables!D17</f>
        <v>9345.2129999999979</v>
      </c>
      <c r="H33" s="145" t="s">
        <v>176</v>
      </c>
      <c r="K33" s="155"/>
    </row>
    <row r="34" spans="2:11" s="85" customFormat="1" ht="15.75" customHeight="1">
      <c r="B34" s="93" t="s">
        <v>177</v>
      </c>
      <c r="K34" s="92"/>
    </row>
    <row r="35" spans="2:11" s="85" customFormat="1" ht="15.75" customHeight="1">
      <c r="B35" s="92" t="s">
        <v>178</v>
      </c>
      <c r="K35" s="92"/>
    </row>
    <row r="36" spans="2:11" s="85" customFormat="1" ht="15.75" customHeight="1">
      <c r="B36" s="92" t="s">
        <v>179</v>
      </c>
      <c r="C36" s="87"/>
      <c r="K36" s="92"/>
    </row>
    <row r="37" spans="2:11" s="85" customFormat="1" ht="15.75" customHeight="1">
      <c r="B37" s="92" t="s">
        <v>180</v>
      </c>
      <c r="K37" s="92"/>
    </row>
    <row r="38" spans="2:11" s="85" customFormat="1" ht="15.75" customHeight="1">
      <c r="B38" s="92" t="s">
        <v>181</v>
      </c>
      <c r="K38" s="92"/>
    </row>
  </sheetData>
  <sheetProtection algorithmName="SHA-512" hashValue="oc/byqfWGeDOQ3VbDDh478ZfuQ/fnDvc+Mxf2Q3ZFLIOXFOK9AAkKKzUx76y6nBeRwQnmss10QvRjuvUFtuLZw==" saltValue="x3sX7duB/wcn6p8NuJZNYQ==" spinCount="100000" sheet="1" objects="1" scenarios="1"/>
  <pageMargins left="0.75" right="0.75" top="1" bottom="1"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Variables!$B$40:$B$51</xm:f>
          </x14:formula1>
          <xm:sqref>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CE7E-B89B-4BA4-8954-EB683F273AF2}">
  <sheetPr>
    <tabColor rgb="FFFEFFB4"/>
  </sheetPr>
  <dimension ref="A1:N70"/>
  <sheetViews>
    <sheetView workbookViewId="0">
      <selection activeCell="H14" sqref="H14"/>
    </sheetView>
  </sheetViews>
  <sheetFormatPr defaultRowHeight="15.5"/>
  <cols>
    <col min="1" max="1" width="2.84375" customWidth="1"/>
  </cols>
  <sheetData>
    <row r="1" spans="1:14" ht="20">
      <c r="B1" s="82" t="s">
        <v>182</v>
      </c>
      <c r="C1" s="67"/>
      <c r="D1" s="67"/>
      <c r="E1" s="67"/>
    </row>
    <row r="2" spans="1:14">
      <c r="B2" s="67"/>
      <c r="C2" s="67"/>
      <c r="D2" s="67"/>
      <c r="E2" s="67"/>
    </row>
    <row r="3" spans="1:14">
      <c r="B3" s="99" t="s">
        <v>183</v>
      </c>
      <c r="C3" s="67"/>
      <c r="D3" s="67"/>
      <c r="E3" s="67"/>
    </row>
    <row r="4" spans="1:14" ht="63.65" customHeight="1">
      <c r="B4" s="80"/>
      <c r="C4" s="67"/>
      <c r="D4" s="67"/>
      <c r="E4" s="67"/>
    </row>
    <row r="5" spans="1:14">
      <c r="B5" s="126" t="s">
        <v>184</v>
      </c>
      <c r="C5" s="67"/>
      <c r="D5" s="67"/>
      <c r="E5" s="67"/>
    </row>
    <row r="6" spans="1:14" ht="28.5" customHeight="1">
      <c r="A6" s="127">
        <v>1</v>
      </c>
      <c r="B6" s="126" t="s">
        <v>185</v>
      </c>
      <c r="C6" s="67"/>
      <c r="D6" s="67"/>
      <c r="E6" s="67"/>
    </row>
    <row r="7" spans="1:14">
      <c r="A7" s="127">
        <v>2</v>
      </c>
      <c r="B7" s="126" t="s">
        <v>186</v>
      </c>
      <c r="C7" s="67"/>
      <c r="D7" s="67"/>
      <c r="E7" s="67"/>
    </row>
    <row r="8" spans="1:14">
      <c r="A8" s="127">
        <v>3</v>
      </c>
      <c r="B8" s="81" t="s">
        <v>187</v>
      </c>
      <c r="N8" t="s">
        <v>188</v>
      </c>
    </row>
    <row r="9" spans="1:14">
      <c r="A9" s="127">
        <v>4</v>
      </c>
      <c r="B9" s="81" t="s">
        <v>189</v>
      </c>
    </row>
    <row r="10" spans="1:14">
      <c r="A10" s="127">
        <v>5</v>
      </c>
      <c r="B10" s="126" t="s">
        <v>190</v>
      </c>
    </row>
    <row r="11" spans="1:14">
      <c r="A11" s="127">
        <v>6</v>
      </c>
      <c r="B11" s="126" t="s">
        <v>191</v>
      </c>
    </row>
    <row r="12" spans="1:14" ht="27" customHeight="1">
      <c r="B12" s="126" t="s">
        <v>192</v>
      </c>
    </row>
    <row r="13" spans="1:14">
      <c r="A13" s="126"/>
      <c r="B13" s="66" t="str">
        <f>HYPERLINK("mailto:churchvitality@febcentral.ca?subject=Staff Salary Guide", "Click here to email")</f>
        <v>Click here to email</v>
      </c>
    </row>
    <row r="17" spans="2:3" ht="17.5">
      <c r="B17" s="71"/>
    </row>
    <row r="18" spans="2:3">
      <c r="C18" s="66"/>
    </row>
    <row r="19" spans="2:3">
      <c r="B19" s="26"/>
    </row>
    <row r="20" spans="2:3">
      <c r="B20" s="70"/>
    </row>
    <row r="21" spans="2:3">
      <c r="B21" s="72"/>
    </row>
    <row r="22" spans="2:3">
      <c r="B22" s="70"/>
    </row>
    <row r="23" spans="2:3">
      <c r="B23" s="73"/>
    </row>
    <row r="25" spans="2:3">
      <c r="B25" s="26"/>
    </row>
    <row r="29" spans="2:3" ht="17.5">
      <c r="B29" s="71"/>
    </row>
    <row r="31" spans="2:3">
      <c r="B31" s="26"/>
    </row>
    <row r="32" spans="2:3">
      <c r="B32" s="74"/>
    </row>
    <row r="33" spans="2:2">
      <c r="B33" s="75"/>
    </row>
    <row r="34" spans="2:2">
      <c r="B34" s="75"/>
    </row>
    <row r="35" spans="2:2">
      <c r="B35" s="70"/>
    </row>
    <row r="36" spans="2:2">
      <c r="B36" s="72"/>
    </row>
    <row r="37" spans="2:2">
      <c r="B37" s="74"/>
    </row>
    <row r="38" spans="2:2">
      <c r="B38" s="76"/>
    </row>
    <row r="40" spans="2:2">
      <c r="B40" s="26"/>
    </row>
    <row r="44" spans="2:2" ht="17.5">
      <c r="B44" s="71"/>
    </row>
    <row r="46" spans="2:2">
      <c r="B46" s="26"/>
    </row>
    <row r="47" spans="2:2">
      <c r="B47" s="74"/>
    </row>
    <row r="48" spans="2:2">
      <c r="B48" s="77"/>
    </row>
    <row r="49" spans="2:2">
      <c r="B49" s="74"/>
    </row>
    <row r="50" spans="2:2">
      <c r="B50" s="77"/>
    </row>
    <row r="51" spans="2:2">
      <c r="B51" s="70"/>
    </row>
    <row r="52" spans="2:2">
      <c r="B52" s="72"/>
    </row>
    <row r="53" spans="2:2">
      <c r="B53" s="74"/>
    </row>
    <row r="54" spans="2:2">
      <c r="B54" s="76"/>
    </row>
    <row r="55" spans="2:2">
      <c r="B55" s="76"/>
    </row>
    <row r="56" spans="2:2">
      <c r="B56" s="76"/>
    </row>
    <row r="57" spans="2:2">
      <c r="B57" s="76"/>
    </row>
    <row r="58" spans="2:2">
      <c r="B58" s="76"/>
    </row>
    <row r="59" spans="2:2">
      <c r="B59" s="76"/>
    </row>
    <row r="60" spans="2:2">
      <c r="B60" s="76"/>
    </row>
    <row r="61" spans="2:2">
      <c r="B61" s="76"/>
    </row>
    <row r="62" spans="2:2">
      <c r="B62" s="76"/>
    </row>
    <row r="63" spans="2:2">
      <c r="B63" s="76"/>
    </row>
    <row r="64" spans="2:2">
      <c r="B64" s="76"/>
    </row>
    <row r="65" spans="2:2">
      <c r="B65" s="74"/>
    </row>
    <row r="66" spans="2:2">
      <c r="B66" s="77"/>
    </row>
    <row r="70" spans="2:2">
      <c r="B70" s="26"/>
    </row>
  </sheetData>
  <sheetProtection algorithmName="SHA-512" hashValue="ILvp7tXZQp9KxNEo47ON+pwXNDZGIxItsDQI4/jBhv5M9tSBxYMF62PTjwZz8yPHWE6YY9NJeSLHcCC4WI6Odw==" saltValue="4Nz2K2r32ya1pOT61HYUuA=="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3375-CA6D-4319-BA95-368660558854}">
  <dimension ref="A1:F24"/>
  <sheetViews>
    <sheetView tabSelected="1" workbookViewId="0">
      <selection activeCell="A13" sqref="A13"/>
    </sheetView>
  </sheetViews>
  <sheetFormatPr defaultRowHeight="15.5"/>
  <cols>
    <col min="1" max="1" width="31.765625" bestFit="1" customWidth="1"/>
    <col min="2" max="3" width="11.23046875" bestFit="1" customWidth="1"/>
    <col min="4" max="4" width="10.69140625" bestFit="1" customWidth="1"/>
    <col min="5" max="5" width="15.69140625" customWidth="1"/>
    <col min="6" max="6" width="11.07421875" customWidth="1"/>
  </cols>
  <sheetData>
    <row r="1" spans="1:6" ht="20">
      <c r="A1" s="82" t="s">
        <v>193</v>
      </c>
    </row>
    <row r="3" spans="1:6" ht="16" customHeight="1">
      <c r="A3" s="176" t="s">
        <v>194</v>
      </c>
      <c r="B3" s="177" t="s">
        <v>195</v>
      </c>
      <c r="C3" s="177" t="s">
        <v>196</v>
      </c>
      <c r="D3" s="177" t="s">
        <v>197</v>
      </c>
      <c r="E3" s="178" t="s">
        <v>198</v>
      </c>
      <c r="F3" s="179" t="s">
        <v>285</v>
      </c>
    </row>
    <row r="4" spans="1:6">
      <c r="A4" s="180" t="s">
        <v>286</v>
      </c>
      <c r="B4" s="181">
        <v>2024</v>
      </c>
      <c r="C4" s="181">
        <v>2025</v>
      </c>
      <c r="D4" s="181" t="s">
        <v>287</v>
      </c>
      <c r="E4" s="182" t="s">
        <v>288</v>
      </c>
      <c r="F4" s="183" t="s">
        <v>95</v>
      </c>
    </row>
    <row r="5" spans="1:6">
      <c r="A5" s="184" t="s">
        <v>199</v>
      </c>
      <c r="B5" s="185">
        <v>26</v>
      </c>
      <c r="C5" s="185">
        <v>27.2</v>
      </c>
      <c r="D5" s="185">
        <v>1.2</v>
      </c>
      <c r="E5" s="186">
        <v>4.5999999999999999E-2</v>
      </c>
      <c r="F5" s="187">
        <f>[1]!_2024_Rates[[#This Row],[Column3]]*40*52</f>
        <v>56576</v>
      </c>
    </row>
    <row r="6" spans="1:6">
      <c r="A6" s="180" t="s">
        <v>289</v>
      </c>
      <c r="B6" s="188">
        <v>23.05</v>
      </c>
      <c r="C6" s="188">
        <v>24.6</v>
      </c>
      <c r="D6" s="188">
        <v>1.55</v>
      </c>
      <c r="E6" s="189">
        <v>6.7000000000000004E-2</v>
      </c>
      <c r="F6" s="190">
        <f>[1]!_2024_Rates[[#This Row],[Column3]]*40*52</f>
        <v>51168</v>
      </c>
    </row>
    <row r="7" spans="1:6">
      <c r="A7" s="184" t="s">
        <v>114</v>
      </c>
      <c r="B7" s="185">
        <v>22.8</v>
      </c>
      <c r="C7" s="185">
        <v>23.4</v>
      </c>
      <c r="D7" s="185">
        <v>0.6</v>
      </c>
      <c r="E7" s="186">
        <v>2.5999999999999999E-2</v>
      </c>
      <c r="F7" s="187">
        <f>[1]!_2024_Rates[[#This Row],[Column3]]*40*52</f>
        <v>48672</v>
      </c>
    </row>
    <row r="8" spans="1:6">
      <c r="A8" s="180" t="s">
        <v>201</v>
      </c>
      <c r="B8" s="188">
        <v>21.3</v>
      </c>
      <c r="C8" s="188">
        <v>23</v>
      </c>
      <c r="D8" s="188">
        <v>1.7</v>
      </c>
      <c r="E8" s="189">
        <v>0.08</v>
      </c>
      <c r="F8" s="190">
        <f>[1]!_2024_Rates[[#This Row],[Column3]]*40*52</f>
        <v>47840</v>
      </c>
    </row>
    <row r="9" spans="1:6">
      <c r="A9" s="184" t="s">
        <v>113</v>
      </c>
      <c r="B9" s="185">
        <v>21.3</v>
      </c>
      <c r="C9" s="185">
        <v>22.6</v>
      </c>
      <c r="D9" s="185">
        <v>1.3</v>
      </c>
      <c r="E9" s="186">
        <v>6.0999999999999999E-2</v>
      </c>
      <c r="F9" s="187">
        <f>[1]!_2024_Rates[[#This Row],[Column3]]*40*52</f>
        <v>47008</v>
      </c>
    </row>
    <row r="10" spans="1:6">
      <c r="A10" s="180" t="s">
        <v>200</v>
      </c>
      <c r="B10" s="188">
        <v>21.65</v>
      </c>
      <c r="C10" s="188">
        <v>22.2</v>
      </c>
      <c r="D10" s="188">
        <v>0.55000000000000004</v>
      </c>
      <c r="E10" s="189">
        <v>2.5000000000000001E-2</v>
      </c>
      <c r="F10" s="190">
        <f>[1]!_2024_Rates[[#This Row],[Column3]]*40*52</f>
        <v>46176</v>
      </c>
    </row>
    <row r="11" spans="1:6">
      <c r="A11" s="184" t="s">
        <v>204</v>
      </c>
      <c r="B11" s="185">
        <v>19.850000000000001</v>
      </c>
      <c r="C11" s="185">
        <v>21.5</v>
      </c>
      <c r="D11" s="185">
        <v>1.65</v>
      </c>
      <c r="E11" s="186">
        <v>8.3000000000000004E-2</v>
      </c>
      <c r="F11" s="187">
        <f>[1]!_2024_Rates[[#This Row],[Column3]]*40*52</f>
        <v>44720</v>
      </c>
    </row>
    <row r="12" spans="1:6">
      <c r="A12" s="180" t="s">
        <v>202</v>
      </c>
      <c r="B12" s="188">
        <v>20.9</v>
      </c>
      <c r="C12" s="188">
        <v>21.4</v>
      </c>
      <c r="D12" s="188">
        <v>0.5</v>
      </c>
      <c r="E12" s="189">
        <v>2.4E-2</v>
      </c>
      <c r="F12" s="190">
        <f>[1]!_2024_Rates[[#This Row],[Column3]]*40*52</f>
        <v>44512</v>
      </c>
    </row>
    <row r="13" spans="1:6">
      <c r="A13" s="184" t="s">
        <v>203</v>
      </c>
      <c r="B13" s="185">
        <v>20.3</v>
      </c>
      <c r="C13" s="185">
        <v>21.1</v>
      </c>
      <c r="D13" s="185">
        <v>0.8</v>
      </c>
      <c r="E13" s="186">
        <v>3.9E-2</v>
      </c>
      <c r="F13" s="187">
        <f>[1]!_2024_Rates[[#This Row],[Column3]]*40*52</f>
        <v>43888</v>
      </c>
    </row>
    <row r="14" spans="1:6">
      <c r="A14" s="180" t="s">
        <v>205</v>
      </c>
      <c r="B14" s="188">
        <v>19.5</v>
      </c>
      <c r="C14" s="188">
        <v>21.05</v>
      </c>
      <c r="D14" s="188">
        <v>1.55</v>
      </c>
      <c r="E14" s="189">
        <v>7.9000000000000001E-2</v>
      </c>
      <c r="F14" s="190">
        <f>[1]!_2024_Rates[[#This Row],[Column3]]*40*52</f>
        <v>43784</v>
      </c>
    </row>
    <row r="16" spans="1:6" ht="15.75" customHeight="1">
      <c r="A16" s="207" t="s">
        <v>206</v>
      </c>
      <c r="B16" s="207"/>
      <c r="C16" s="79" t="s">
        <v>207</v>
      </c>
      <c r="E16" s="126" t="s">
        <v>208</v>
      </c>
    </row>
    <row r="19" spans="1:1">
      <c r="A19" s="126" t="s">
        <v>209</v>
      </c>
    </row>
    <row r="20" spans="1:1">
      <c r="A20" s="126" t="s">
        <v>210</v>
      </c>
    </row>
    <row r="24" spans="1:1">
      <c r="A24" s="69"/>
    </row>
  </sheetData>
  <sheetProtection algorithmName="SHA-512" hashValue="ENM/+a6RB+dTJAEWBEJ+uloImxbxqdYH6Tmn8gAaz4tT3mDWf1mERjOq6aCyWKWOeY0Pcqp0z0AQbk/J7LbG8w==" saltValue="II+Q8QPrlAp9nwbHWyazwg==" spinCount="100000" sheet="1" objects="1" scenarios="1"/>
  <mergeCells count="1">
    <mergeCell ref="A16:B16"/>
  </mergeCells>
  <phoneticPr fontId="23" type="noConversion"/>
  <hyperlinks>
    <hyperlink ref="C16" r:id="rId1" xr:uid="{C0C9D83E-6FD0-4191-9C4C-41D6A87D38A2}"/>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69"/>
  <sheetViews>
    <sheetView topLeftCell="A6" workbookViewId="0">
      <selection activeCell="E17" sqref="E17"/>
    </sheetView>
  </sheetViews>
  <sheetFormatPr defaultColWidth="10.07421875" defaultRowHeight="15" customHeight="1"/>
  <cols>
    <col min="2" max="2" width="21.23046875" customWidth="1"/>
  </cols>
  <sheetData>
    <row r="1" spans="1:8" ht="15" customHeight="1">
      <c r="A1" s="8"/>
      <c r="B1" s="3" t="s">
        <v>211</v>
      </c>
      <c r="E1" s="7"/>
    </row>
    <row r="2" spans="1:8" ht="15" customHeight="1">
      <c r="A2" s="2">
        <v>1</v>
      </c>
      <c r="B2" s="21" t="s">
        <v>212</v>
      </c>
      <c r="E2" s="7"/>
      <c r="H2" s="13"/>
    </row>
    <row r="3" spans="1:8" ht="15" customHeight="1">
      <c r="A3" s="2">
        <v>2</v>
      </c>
      <c r="B3" s="2" t="s">
        <v>213</v>
      </c>
      <c r="E3" s="7"/>
      <c r="H3" s="49"/>
    </row>
    <row r="4" spans="1:8" ht="15" customHeight="1">
      <c r="A4" s="2">
        <v>3</v>
      </c>
      <c r="B4" s="2" t="s">
        <v>214</v>
      </c>
      <c r="E4" s="7"/>
    </row>
    <row r="5" spans="1:8" ht="15" customHeight="1">
      <c r="A5" s="2">
        <v>4</v>
      </c>
      <c r="B5" s="2" t="s">
        <v>215</v>
      </c>
      <c r="E5" s="7"/>
    </row>
    <row r="6" spans="1:8" ht="15" customHeight="1">
      <c r="A6" s="7">
        <v>5</v>
      </c>
      <c r="B6" s="2" t="s">
        <v>216</v>
      </c>
      <c r="E6" s="7"/>
    </row>
    <row r="7" spans="1:8" ht="15" customHeight="1">
      <c r="B7" s="25"/>
      <c r="C7" s="50" t="s">
        <v>217</v>
      </c>
      <c r="D7" s="50" t="s">
        <v>218</v>
      </c>
      <c r="E7" s="7"/>
    </row>
    <row r="8" spans="1:8" ht="15" customHeight="1">
      <c r="B8" s="22" t="s">
        <v>219</v>
      </c>
      <c r="C8" s="51">
        <v>1.021E-2</v>
      </c>
      <c r="D8" s="52">
        <v>1.0169999999999999</v>
      </c>
      <c r="E8" s="7"/>
    </row>
    <row r="9" spans="1:8" ht="15" customHeight="1">
      <c r="B9" s="22" t="s">
        <v>139</v>
      </c>
      <c r="C9" s="23"/>
      <c r="D9" s="24">
        <f t="shared" ref="D9:D18" si="0">($C9)*COLA</f>
        <v>0</v>
      </c>
      <c r="E9" s="7"/>
    </row>
    <row r="10" spans="1:8" ht="15" customHeight="1">
      <c r="B10" s="25" t="s">
        <v>143</v>
      </c>
      <c r="C10" s="24">
        <v>1000</v>
      </c>
      <c r="D10" s="24">
        <f t="shared" si="0"/>
        <v>1016.9999999999999</v>
      </c>
      <c r="E10" s="2"/>
      <c r="F10" s="2"/>
    </row>
    <row r="11" spans="1:8" ht="15" customHeight="1">
      <c r="B11" s="25" t="s">
        <v>145</v>
      </c>
      <c r="C11" s="24">
        <v>3165.1</v>
      </c>
      <c r="D11" s="24">
        <f t="shared" si="0"/>
        <v>3218.9066999999995</v>
      </c>
      <c r="E11" s="7"/>
    </row>
    <row r="12" spans="1:8" ht="15" customHeight="1">
      <c r="B12" s="25" t="s">
        <v>148</v>
      </c>
      <c r="C12" s="24">
        <v>6330.2</v>
      </c>
      <c r="D12" s="24">
        <f t="shared" si="0"/>
        <v>6437.8133999999991</v>
      </c>
      <c r="E12" s="7"/>
    </row>
    <row r="13" spans="1:8" ht="15" customHeight="1">
      <c r="B13" s="25" t="s">
        <v>152</v>
      </c>
      <c r="C13" s="24">
        <v>9495.2999999999993</v>
      </c>
      <c r="D13" s="24">
        <f>ROUND(($C13)*COLA,0)</f>
        <v>9657</v>
      </c>
      <c r="E13" s="7"/>
    </row>
    <row r="14" spans="1:8" ht="15" customHeight="1">
      <c r="B14" s="25" t="s">
        <v>153</v>
      </c>
      <c r="C14" s="24">
        <v>12660.4</v>
      </c>
      <c r="D14" s="24">
        <f>ROUND(($C14)*COLA,0)</f>
        <v>12876</v>
      </c>
      <c r="E14" s="7"/>
    </row>
    <row r="15" spans="1:8" ht="15" customHeight="1">
      <c r="B15" s="25" t="s">
        <v>154</v>
      </c>
      <c r="C15" s="24">
        <v>15825.499999999998</v>
      </c>
      <c r="D15" s="24">
        <f>ROUND(($C15)*COLA,0)</f>
        <v>16095</v>
      </c>
      <c r="E15" s="7"/>
      <c r="F15" s="44">
        <f>D15-D13</f>
        <v>6438</v>
      </c>
      <c r="G15" s="38">
        <f>F15*D35</f>
        <v>5021.6400000000003</v>
      </c>
    </row>
    <row r="16" spans="1:8" ht="15" customHeight="1">
      <c r="B16" s="22" t="s">
        <v>220</v>
      </c>
      <c r="C16" s="24">
        <v>7657.4999999999991</v>
      </c>
      <c r="D16" s="24">
        <f t="shared" si="0"/>
        <v>7787.677499999998</v>
      </c>
      <c r="E16" s="7"/>
    </row>
    <row r="17" spans="2:8" ht="15" customHeight="1">
      <c r="B17" s="22" t="s">
        <v>137</v>
      </c>
      <c r="C17" s="24">
        <v>918.89999999999986</v>
      </c>
      <c r="D17" s="24">
        <f t="shared" si="0"/>
        <v>934.52129999999977</v>
      </c>
      <c r="E17" s="7" t="s">
        <v>32</v>
      </c>
    </row>
    <row r="18" spans="2:8" ht="15" customHeight="1">
      <c r="B18" s="22" t="s">
        <v>221</v>
      </c>
      <c r="C18" s="24">
        <v>0</v>
      </c>
      <c r="D18" s="24">
        <f t="shared" si="0"/>
        <v>0</v>
      </c>
      <c r="E18" s="7"/>
      <c r="H18" s="26" t="s">
        <v>222</v>
      </c>
    </row>
    <row r="19" spans="2:8" ht="15" customHeight="1">
      <c r="B19" s="25" t="s">
        <v>223</v>
      </c>
      <c r="C19" s="24">
        <v>0</v>
      </c>
      <c r="D19" s="24">
        <v>0</v>
      </c>
      <c r="E19" s="7"/>
      <c r="H19" s="26" t="s">
        <v>224</v>
      </c>
    </row>
    <row r="20" spans="2:8" ht="15" customHeight="1">
      <c r="B20" s="25" t="s">
        <v>142</v>
      </c>
      <c r="C20" s="24">
        <v>1429.3999999999999</v>
      </c>
      <c r="D20" s="24">
        <f>($C20)*COLA</f>
        <v>1453.6997999999996</v>
      </c>
      <c r="E20" s="7"/>
      <c r="H20" s="26" t="s">
        <v>225</v>
      </c>
    </row>
    <row r="21" spans="2:8" ht="15" customHeight="1">
      <c r="B21" s="25" t="s">
        <v>144</v>
      </c>
      <c r="C21" s="24">
        <v>2858.7999999999997</v>
      </c>
      <c r="D21" s="24">
        <f>($C21)*COLA</f>
        <v>2907.3995999999993</v>
      </c>
      <c r="E21" s="7"/>
    </row>
    <row r="22" spans="2:8" ht="15" customHeight="1">
      <c r="B22" s="25" t="s">
        <v>147</v>
      </c>
      <c r="C22" s="24">
        <v>4288.2</v>
      </c>
      <c r="D22" s="24">
        <f>($C22)*COLA</f>
        <v>4361.0993999999992</v>
      </c>
    </row>
    <row r="23" spans="2:8" ht="15" customHeight="1">
      <c r="B23" s="22" t="s">
        <v>226</v>
      </c>
      <c r="C23" s="24">
        <v>918.89999999999986</v>
      </c>
      <c r="D23" s="24">
        <f>($C23)*COLA</f>
        <v>934.52129999999977</v>
      </c>
    </row>
    <row r="24" spans="2:8" ht="15" customHeight="1">
      <c r="B24" s="22" t="s">
        <v>227</v>
      </c>
      <c r="C24" s="24">
        <v>57380.2</v>
      </c>
      <c r="D24" s="24">
        <f>($C24)*COLA</f>
        <v>58355.66339999999</v>
      </c>
    </row>
    <row r="25" spans="2:8" ht="15" customHeight="1">
      <c r="B25" s="22" t="s">
        <v>228</v>
      </c>
      <c r="C25" s="24"/>
      <c r="D25" s="24">
        <f>Base+10000</f>
        <v>68355.66339999999</v>
      </c>
    </row>
    <row r="26" spans="2:8" ht="15" customHeight="1">
      <c r="B26" s="22" t="s">
        <v>229</v>
      </c>
      <c r="C26" s="24"/>
      <c r="D26" s="24">
        <f>Base-10000</f>
        <v>48355.66339999999</v>
      </c>
    </row>
    <row r="27" spans="2:8" ht="15" customHeight="1">
      <c r="B27" s="22" t="s">
        <v>230</v>
      </c>
      <c r="C27" s="24"/>
      <c r="D27" s="24"/>
    </row>
    <row r="28" spans="2:8" ht="15" customHeight="1">
      <c r="B28" s="22" t="s">
        <v>231</v>
      </c>
      <c r="C28" s="53"/>
      <c r="D28" s="24"/>
    </row>
    <row r="29" spans="2:8" ht="15" customHeight="1">
      <c r="B29" s="29" t="s">
        <v>232</v>
      </c>
      <c r="C29" s="53"/>
      <c r="D29" s="42">
        <v>1.0900000000000001</v>
      </c>
    </row>
    <row r="30" spans="2:8" ht="15" customHeight="1">
      <c r="B30" s="29" t="s">
        <v>233</v>
      </c>
      <c r="C30" s="53"/>
      <c r="D30" s="41">
        <v>0</v>
      </c>
      <c r="E30" t="s">
        <v>234</v>
      </c>
    </row>
    <row r="31" spans="2:8" ht="15" customHeight="1">
      <c r="B31" s="29" t="s">
        <v>235</v>
      </c>
      <c r="C31" s="53"/>
      <c r="D31" s="41">
        <v>0</v>
      </c>
      <c r="E31" t="s">
        <v>234</v>
      </c>
    </row>
    <row r="32" spans="2:8" ht="15" customHeight="1">
      <c r="B32" s="27" t="s">
        <v>24</v>
      </c>
      <c r="C32" s="28">
        <v>1</v>
      </c>
      <c r="D32" s="28">
        <v>1</v>
      </c>
    </row>
    <row r="33" spans="2:8" ht="15" customHeight="1">
      <c r="B33" s="29" t="s">
        <v>26</v>
      </c>
      <c r="C33" s="28">
        <v>0.93</v>
      </c>
      <c r="D33" s="28">
        <v>0.93</v>
      </c>
    </row>
    <row r="34" spans="2:8" ht="15" customHeight="1">
      <c r="B34" s="29" t="s">
        <v>28</v>
      </c>
      <c r="C34" s="28">
        <v>0.85</v>
      </c>
      <c r="D34" s="28">
        <v>0.85</v>
      </c>
    </row>
    <row r="35" spans="2:8" ht="15" customHeight="1">
      <c r="B35" s="29" t="s">
        <v>30</v>
      </c>
      <c r="C35" s="28">
        <v>0.78</v>
      </c>
      <c r="D35" s="28">
        <v>0.78</v>
      </c>
    </row>
    <row r="36" spans="2:8" ht="15" customHeight="1">
      <c r="B36" s="29" t="s">
        <v>33</v>
      </c>
      <c r="C36" s="28">
        <v>0.7</v>
      </c>
      <c r="D36" s="28">
        <v>0.7</v>
      </c>
    </row>
    <row r="37" spans="2:8" ht="15" customHeight="1">
      <c r="E37" s="54"/>
      <c r="F37" s="54"/>
      <c r="G37" s="54"/>
      <c r="H37" s="54"/>
    </row>
    <row r="38" spans="2:8" ht="15" customHeight="1">
      <c r="E38" s="54"/>
      <c r="F38" s="54"/>
    </row>
    <row r="39" spans="2:8" ht="15" customHeight="1">
      <c r="B39" s="22" t="s">
        <v>236</v>
      </c>
      <c r="C39" s="2"/>
    </row>
    <row r="40" spans="2:8" ht="15" customHeight="1">
      <c r="B40" s="25">
        <v>0</v>
      </c>
      <c r="C40" s="6"/>
    </row>
    <row r="41" spans="2:8" ht="15" customHeight="1">
      <c r="B41" s="25">
        <v>1</v>
      </c>
      <c r="C41" s="6"/>
    </row>
    <row r="42" spans="2:8" ht="15" customHeight="1">
      <c r="B42" s="25">
        <v>2</v>
      </c>
      <c r="C42" s="6"/>
    </row>
    <row r="43" spans="2:8" ht="15" customHeight="1">
      <c r="B43" s="25">
        <v>3</v>
      </c>
      <c r="C43" s="6"/>
    </row>
    <row r="44" spans="2:8" ht="15" customHeight="1">
      <c r="B44" s="25">
        <v>4</v>
      </c>
      <c r="C44" s="6"/>
      <c r="D44" s="54" t="s">
        <v>237</v>
      </c>
    </row>
    <row r="45" spans="2:8" ht="15" customHeight="1">
      <c r="B45" s="25">
        <v>5</v>
      </c>
      <c r="C45" s="6"/>
      <c r="D45" s="54" t="s">
        <v>238</v>
      </c>
    </row>
    <row r="46" spans="2:8" ht="15" customHeight="1">
      <c r="B46" s="25">
        <v>6</v>
      </c>
      <c r="C46" s="6"/>
    </row>
    <row r="47" spans="2:8" ht="15" customHeight="1">
      <c r="B47" s="25">
        <v>7</v>
      </c>
      <c r="C47" s="6"/>
    </row>
    <row r="48" spans="2:8" ht="15" customHeight="1">
      <c r="B48" s="25">
        <v>8</v>
      </c>
      <c r="C48" s="6"/>
    </row>
    <row r="49" spans="2:4" ht="15" customHeight="1">
      <c r="B49" s="25">
        <v>9</v>
      </c>
      <c r="C49" s="6"/>
    </row>
    <row r="50" spans="2:4" ht="15" customHeight="1">
      <c r="B50" s="25">
        <v>10</v>
      </c>
      <c r="C50" s="6"/>
    </row>
    <row r="51" spans="2:4" ht="15" customHeight="1">
      <c r="B51" s="29" t="s">
        <v>239</v>
      </c>
    </row>
    <row r="53" spans="2:4" ht="15" customHeight="1">
      <c r="B53" s="30" t="s">
        <v>240</v>
      </c>
    </row>
    <row r="54" spans="2:4" ht="15" customHeight="1">
      <c r="C54" s="53"/>
      <c r="D54" s="53"/>
    </row>
    <row r="55" spans="2:4" ht="15.5">
      <c r="B55" s="31" t="s">
        <v>241</v>
      </c>
      <c r="C55" s="32" t="s">
        <v>217</v>
      </c>
      <c r="D55" s="32" t="s">
        <v>242</v>
      </c>
    </row>
    <row r="56" spans="2:4" ht="15.5">
      <c r="B56" s="53"/>
      <c r="C56" s="26"/>
      <c r="D56" s="53"/>
    </row>
    <row r="57" spans="2:4" ht="15.5">
      <c r="B57" s="55" t="s">
        <v>243</v>
      </c>
      <c r="C57" s="26">
        <v>4.99E-2</v>
      </c>
      <c r="D57" s="53">
        <v>4.4900000000000002E-2</v>
      </c>
    </row>
    <row r="58" spans="2:4" ht="15.5">
      <c r="B58" s="55" t="s">
        <v>244</v>
      </c>
      <c r="C58" s="53">
        <v>4.8399999999999999E-2</v>
      </c>
      <c r="D58" s="53">
        <v>4.5100000000000001E-2</v>
      </c>
    </row>
    <row r="59" spans="2:4" ht="15.5">
      <c r="B59" s="55" t="s">
        <v>245</v>
      </c>
      <c r="C59" s="53">
        <v>4.8399999999999999E-2</v>
      </c>
      <c r="D59" s="53">
        <v>4.3400000000000001E-2</v>
      </c>
    </row>
    <row r="60" spans="2:4" ht="15.5">
      <c r="B60" s="55" t="s">
        <v>246</v>
      </c>
      <c r="C60" s="53">
        <v>4.8399999999999999E-2</v>
      </c>
      <c r="D60" s="53">
        <v>4.0899999999999999E-2</v>
      </c>
    </row>
    <row r="61" spans="2:4" ht="15.5">
      <c r="B61" s="55" t="s">
        <v>247</v>
      </c>
      <c r="C61" s="53">
        <v>5.0900000000000001E-2</v>
      </c>
      <c r="D61" s="53">
        <v>4.5900000000000003E-2</v>
      </c>
    </row>
    <row r="62" spans="2:4" ht="15.5">
      <c r="B62" s="31" t="s">
        <v>248</v>
      </c>
      <c r="C62" s="33">
        <f t="shared" ref="C62:D62" si="1">AVERAGE(C56:C61)</f>
        <v>4.9200000000000001E-2</v>
      </c>
      <c r="D62" s="33">
        <f t="shared" si="1"/>
        <v>4.4039999999999996E-2</v>
      </c>
    </row>
    <row r="63" spans="2:4" ht="15.5">
      <c r="C63" s="53"/>
    </row>
    <row r="64" spans="2:4" ht="15" customHeight="1">
      <c r="B64" s="31" t="s">
        <v>249</v>
      </c>
    </row>
    <row r="65" spans="2:3" ht="15" customHeight="1">
      <c r="B65" s="53" t="s">
        <v>250</v>
      </c>
      <c r="C65" s="56">
        <v>0.9</v>
      </c>
    </row>
    <row r="66" spans="2:3" ht="15" customHeight="1">
      <c r="B66" s="53" t="s">
        <v>251</v>
      </c>
      <c r="C66" s="57">
        <f>D62</f>
        <v>4.4039999999999996E-2</v>
      </c>
    </row>
    <row r="67" spans="2:3" ht="15" customHeight="1">
      <c r="B67" s="53" t="s">
        <v>252</v>
      </c>
      <c r="C67" s="53">
        <v>25</v>
      </c>
    </row>
    <row r="68" spans="2:3" ht="15" customHeight="1">
      <c r="B68" s="53" t="s">
        <v>253</v>
      </c>
      <c r="C68" s="58">
        <v>400</v>
      </c>
    </row>
    <row r="69" spans="2:3" ht="15" customHeight="1">
      <c r="B69" s="53" t="s">
        <v>254</v>
      </c>
      <c r="C69" s="58">
        <v>425</v>
      </c>
    </row>
  </sheetData>
  <hyperlinks>
    <hyperlink ref="B2" r:id="rId1" display="CPI Ontario as of July 2025" xr:uid="{00000000-0004-0000-0300-000000000000}"/>
    <hyperlink ref="B53" r:id="rId2" xr:uid="{00000000-0004-0000-0300-000001000000}"/>
    <hyperlink ref="B57" r:id="rId3" xr:uid="{00000000-0004-0000-0300-000002000000}"/>
    <hyperlink ref="B58" r:id="rId4" xr:uid="{00000000-0004-0000-0300-000003000000}"/>
    <hyperlink ref="B59" r:id="rId5" xr:uid="{00000000-0004-0000-0300-000004000000}"/>
    <hyperlink ref="B60" r:id="rId6" xr:uid="{00000000-0004-0000-0300-000005000000}"/>
    <hyperlink ref="B61" r:id="rId7" xr:uid="{00000000-0004-0000-0300-000006000000}"/>
  </hyperlinks>
  <pageMargins left="0.7" right="0.7" top="0.75" bottom="0.75" header="0.3" footer="0.3"/>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79"/>
  <sheetViews>
    <sheetView workbookViewId="0">
      <selection activeCell="M21" sqref="M21"/>
    </sheetView>
  </sheetViews>
  <sheetFormatPr defaultColWidth="10.07421875" defaultRowHeight="15" customHeight="1"/>
  <cols>
    <col min="1" max="1" width="18.69140625" customWidth="1"/>
    <col min="2" max="2" width="14.765625" customWidth="1"/>
    <col min="3" max="3" width="14.3046875" customWidth="1"/>
    <col min="10" max="10" width="34.84375" customWidth="1"/>
    <col min="11" max="11" width="14.4609375" customWidth="1"/>
    <col min="12" max="12" width="15.23046875" customWidth="1"/>
  </cols>
  <sheetData>
    <row r="1" spans="1:14" ht="15.5">
      <c r="A1" s="34" t="s">
        <v>255</v>
      </c>
      <c r="B1" s="59">
        <f>Variables!C8</f>
        <v>1.021E-2</v>
      </c>
      <c r="C1" s="60">
        <f>Variables!D8</f>
        <v>1.0169999999999999</v>
      </c>
      <c r="D1" s="7" t="s">
        <v>256</v>
      </c>
    </row>
    <row r="2" spans="1:14" ht="15.5">
      <c r="A2" s="11"/>
      <c r="B2" s="14">
        <v>2024</v>
      </c>
      <c r="C2" s="14">
        <v>2025</v>
      </c>
      <c r="K2" s="11" t="s">
        <v>257</v>
      </c>
      <c r="L2" s="35" t="s">
        <v>258</v>
      </c>
      <c r="M2" s="35">
        <v>2023</v>
      </c>
      <c r="N2" s="35">
        <v>2022</v>
      </c>
    </row>
    <row r="3" spans="1:14" ht="18.75" customHeight="1">
      <c r="A3" s="11" t="s">
        <v>257</v>
      </c>
      <c r="B3" s="7" t="s">
        <v>259</v>
      </c>
      <c r="C3" s="7" t="s">
        <v>259</v>
      </c>
      <c r="K3" s="7" t="s">
        <v>259</v>
      </c>
      <c r="L3" s="61">
        <f>Variables!D32</f>
        <v>1</v>
      </c>
      <c r="M3" s="62">
        <v>1</v>
      </c>
      <c r="N3" s="63">
        <v>1</v>
      </c>
    </row>
    <row r="4" spans="1:14" ht="18.75" customHeight="1">
      <c r="A4" s="11" t="s">
        <v>260</v>
      </c>
      <c r="B4" s="64">
        <v>2000</v>
      </c>
      <c r="C4" s="64">
        <f>B4*COLA</f>
        <v>2033.9999999999998</v>
      </c>
      <c r="D4" s="54" t="s">
        <v>261</v>
      </c>
      <c r="E4" s="54"/>
      <c r="F4" s="54"/>
      <c r="G4" s="54"/>
      <c r="K4" s="7" t="s">
        <v>26</v>
      </c>
      <c r="L4" s="61">
        <v>0.93</v>
      </c>
      <c r="M4" s="62">
        <v>0.92</v>
      </c>
      <c r="N4" s="63">
        <v>0.9</v>
      </c>
    </row>
    <row r="5" spans="1:14" ht="18.75" customHeight="1">
      <c r="A5" s="11" t="s">
        <v>137</v>
      </c>
      <c r="B5" s="64">
        <v>4595</v>
      </c>
      <c r="C5" s="64">
        <f>B5*COLA</f>
        <v>4673.1149999999998</v>
      </c>
      <c r="D5" s="54" t="s">
        <v>262</v>
      </c>
      <c r="E5" s="54"/>
      <c r="F5" s="54"/>
      <c r="G5" s="54"/>
      <c r="K5" s="7" t="s">
        <v>28</v>
      </c>
      <c r="L5" s="61">
        <v>0.85</v>
      </c>
      <c r="M5" s="62">
        <v>0.84</v>
      </c>
      <c r="N5" s="63">
        <v>0.8</v>
      </c>
    </row>
    <row r="6" spans="1:14" ht="18.75" customHeight="1">
      <c r="A6" s="11" t="s">
        <v>221</v>
      </c>
      <c r="B6" s="64">
        <v>1429</v>
      </c>
      <c r="C6" s="64">
        <v>1456.5586000000001</v>
      </c>
      <c r="E6" s="54" t="s">
        <v>263</v>
      </c>
      <c r="F6" s="54"/>
      <c r="G6" s="54"/>
      <c r="K6" s="7" t="s">
        <v>30</v>
      </c>
      <c r="L6" s="61">
        <v>0.78</v>
      </c>
      <c r="M6" s="62">
        <v>0.76</v>
      </c>
      <c r="N6" s="63">
        <v>0.7</v>
      </c>
    </row>
    <row r="7" spans="1:14" ht="18.75" customHeight="1">
      <c r="A7" s="11" t="s">
        <v>264</v>
      </c>
      <c r="B7" s="64">
        <v>6330</v>
      </c>
      <c r="C7" s="64">
        <v>6431.4831999999997</v>
      </c>
      <c r="K7" s="7" t="s">
        <v>265</v>
      </c>
      <c r="L7" s="61">
        <v>0.7</v>
      </c>
      <c r="M7" s="62">
        <v>0.68</v>
      </c>
      <c r="N7" s="63">
        <v>0.6</v>
      </c>
    </row>
    <row r="8" spans="1:14" ht="18.75" customHeight="1">
      <c r="A8" s="11" t="s">
        <v>266</v>
      </c>
      <c r="B8" s="64">
        <f>Variables!C24</f>
        <v>57380.2</v>
      </c>
      <c r="C8" s="64">
        <f>B8*COLA</f>
        <v>58355.66339999999</v>
      </c>
      <c r="D8" s="54" t="s">
        <v>261</v>
      </c>
      <c r="E8" s="54"/>
      <c r="F8" s="54"/>
      <c r="G8" s="54"/>
    </row>
    <row r="11" spans="1:14" ht="15.5">
      <c r="B11" s="14">
        <v>2024</v>
      </c>
      <c r="C11" s="14">
        <v>2025</v>
      </c>
      <c r="D11" s="14" t="s">
        <v>267</v>
      </c>
    </row>
    <row r="12" spans="1:14" ht="15.5">
      <c r="A12" s="7" t="str">
        <f>Testing!B43</f>
        <v>Sault Ste. Marie</v>
      </c>
      <c r="B12" s="64">
        <f>IF(B$3=$K$3,$L$3,IF(B$3=$K$4,$L$4,IF(B$3=$K$5,$L$5,IF(B$3=$K$6,$L$6,$L$7))))*(SUM(B$4:B$8)+_xlfn.XLOOKUP($A12,Testing!$B$43:$B$71,Testing!$L$43:$L$71))</f>
        <v>71734.2</v>
      </c>
      <c r="C12" s="64">
        <f>IF(C$3=$K$3,$L$3,IF(C$3=$K$4,$L$4,IF(C$3=$K$5,$L$5,IF(C$3=$K$6,$L$6,$L$7))))*(SUM(C$4:C$8)+_xlfn.XLOOKUP($A12,Testing!$B$43:$B$71,Testing!$M$43:$M$71))</f>
        <v>72950.820199999987</v>
      </c>
      <c r="D12" s="61">
        <f t="shared" ref="D12:D40" si="0">(C12-B12)/B12</f>
        <v>1.6960113864795179E-2</v>
      </c>
      <c r="E12" s="7" t="str">
        <f>IF(Testing!$I43&gt;Testing!$H43,"House price increased","")</f>
        <v/>
      </c>
    </row>
    <row r="13" spans="1:14" ht="15.5">
      <c r="A13" s="7" t="str">
        <f>Testing!B44</f>
        <v>Belleville</v>
      </c>
      <c r="B13" s="64">
        <f>IF(B$3=$K$3,$L$3,IF(B$3=$K$4,$L$4,IF(B$3=$K$5,$L$5,IF(B$3=$K$6,$L$6,$L$7))))*(SUM(B$4:B$8)+_xlfn.XLOOKUP($A13,Testing!$B$43:$B$71,Testing!$L$43:$L$71))</f>
        <v>79187.199999999997</v>
      </c>
      <c r="C13" s="64">
        <f>IF(C$3=$K$3,$L$3,IF(C$3=$K$4,$L$4,IF(C$3=$K$5,$L$5,IF(C$3=$K$6,$L$6,$L$7))))*(SUM(C$4:C$8)+_xlfn.XLOOKUP($A13,Testing!$B$43:$B$71,Testing!$M$43:$M$71))</f>
        <v>81465.042499999981</v>
      </c>
      <c r="D13" s="61">
        <f t="shared" si="0"/>
        <v>2.8765286561464282E-2</v>
      </c>
      <c r="E13" s="7" t="str">
        <f>IF(Testing!$I44&gt;Testing!$H44,"House price increased","")</f>
        <v>House price increased</v>
      </c>
    </row>
    <row r="14" spans="1:14" ht="15.5">
      <c r="A14" s="7" t="str">
        <f>Testing!B45</f>
        <v>Goderich</v>
      </c>
      <c r="B14" s="64">
        <f>IF(B$3=$K$3,$L$3,IF(B$3=$K$4,$L$4,IF(B$3=$K$5,$L$5,IF(B$3=$K$6,$L$6,$L$7))))*(SUM(B$4:B$8)+_xlfn.XLOOKUP($A14,Testing!$B$43:$B$71,Testing!$L$43:$L$71))</f>
        <v>81025.2</v>
      </c>
      <c r="C14" s="64">
        <f>IF(C$3=$K$3,$L$3,IF(C$3=$K$4,$L$4,IF(C$3=$K$5,$L$5,IF(C$3=$K$6,$L$6,$L$7))))*(SUM(C$4:C$8)+_xlfn.XLOOKUP($A14,Testing!$B$43:$B$71,Testing!$M$43:$M$71))</f>
        <v>83334.288499999981</v>
      </c>
      <c r="D14" s="61">
        <f t="shared" si="0"/>
        <v>2.8498399263438827E-2</v>
      </c>
      <c r="E14" s="7" t="str">
        <f>IF(Testing!$I45&gt;Testing!$H45,"House price increased","")</f>
        <v>House price increased</v>
      </c>
      <c r="I14" s="43"/>
      <c r="J14" s="43"/>
      <c r="K14" s="43"/>
      <c r="L14" s="43"/>
      <c r="M14" s="43"/>
      <c r="N14" s="43"/>
    </row>
    <row r="15" spans="1:14" ht="15.5">
      <c r="A15" s="7" t="str">
        <f>Testing!B46</f>
        <v>Orillia</v>
      </c>
      <c r="B15" s="64">
        <f>IF(B$3=$K$3,$L$3,IF(B$3=$K$4,$L$4,IF(B$3=$K$5,$L$5,IF(B$3=$K$6,$L$6,$L$7))))*(SUM(B$4:B$8)+_xlfn.XLOOKUP($A15,Testing!$B$43:$B$71,Testing!$L$43:$L$71))</f>
        <v>82863.199999999997</v>
      </c>
      <c r="C15" s="64">
        <f>IF(C$3=$K$3,$L$3,IF(C$3=$K$4,$L$4,IF(C$3=$K$5,$L$5,IF(C$3=$K$6,$L$6,$L$7))))*(SUM(C$4:C$8)+_xlfn.XLOOKUP($A15,Testing!$B$43:$B$71,Testing!$M$43:$M$71))</f>
        <v>84269.013199999987</v>
      </c>
      <c r="D15" s="61">
        <f t="shared" si="0"/>
        <v>1.6965470800065524E-2</v>
      </c>
      <c r="E15" s="7" t="str">
        <f>IF(Testing!$I46&gt;Testing!$H46,"House price increased","")</f>
        <v/>
      </c>
      <c r="I15" t="s">
        <v>154</v>
      </c>
      <c r="J15" s="26" t="s">
        <v>268</v>
      </c>
      <c r="K15" s="26" t="s">
        <v>269</v>
      </c>
      <c r="L15" s="26" t="s">
        <v>270</v>
      </c>
      <c r="M15" s="26" t="s">
        <v>271</v>
      </c>
      <c r="N15" s="40" t="s">
        <v>272</v>
      </c>
    </row>
    <row r="16" spans="1:14" ht="15.5">
      <c r="A16" s="7" t="str">
        <f>Testing!B47</f>
        <v>Strathroy</v>
      </c>
      <c r="B16" s="64">
        <f>IF(B$3=$K$3,$L$3,IF(B$3=$K$4,$L$4,IF(B$3=$K$5,$L$5,IF(B$3=$K$6,$L$6,$L$7))))*(SUM(B$4:B$8)+_xlfn.XLOOKUP($A16,Testing!$B$43:$B$71,Testing!$L$43:$L$71))</f>
        <v>82863.199999999997</v>
      </c>
      <c r="C16" s="64">
        <f>IF(C$3=$K$3,$L$3,IF(C$3=$K$4,$L$4,IF(C$3=$K$5,$L$5,IF(C$3=$K$6,$L$6,$L$7))))*(SUM(C$4:C$8)+_xlfn.XLOOKUP($A16,Testing!$B$43:$B$71,Testing!$M$43:$M$71))</f>
        <v>85203.53449999998</v>
      </c>
      <c r="D16" s="61">
        <f t="shared" si="0"/>
        <v>2.8243351692910517E-2</v>
      </c>
      <c r="E16" s="7" t="str">
        <f>IF(Testing!$I47&gt;Testing!$H47,"House price increased","")</f>
        <v>House price increased</v>
      </c>
      <c r="J16" t="str">
        <f>CONCATENATE("When size set at $",Size)</f>
        <v>When size set at $9657</v>
      </c>
      <c r="K16" s="7"/>
    </row>
    <row r="17" spans="1:16" ht="15.5">
      <c r="A17" s="7" t="str">
        <f>Testing!B48</f>
        <v>Woodstock</v>
      </c>
      <c r="B17" s="64">
        <f>IF(B$3=$K$3,$L$3,IF(B$3=$K$4,$L$4,IF(B$3=$K$5,$L$5,IF(B$3=$K$6,$L$6,$L$7))))*(SUM(B$4:B$8)+_xlfn.XLOOKUP($A17,Testing!$B$43:$B$71,Testing!$L$43:$L$71))</f>
        <v>82863.199999999997</v>
      </c>
      <c r="C17" s="64">
        <f>IF(C$3=$K$3,$L$3,IF(C$3=$K$4,$L$4,IF(C$3=$K$5,$L$5,IF(C$3=$K$6,$L$6,$L$7))))*(SUM(C$4:C$8)+_xlfn.XLOOKUP($A17,Testing!$B$43:$B$71,Testing!$M$43:$M$71))</f>
        <v>85203.53449999998</v>
      </c>
      <c r="D17" s="61">
        <f t="shared" si="0"/>
        <v>2.8243351692910517E-2</v>
      </c>
      <c r="E17" s="7" t="str">
        <f>IF(Testing!$I48&gt;Testing!$H48,"House price increased","")</f>
        <v>House price increased</v>
      </c>
      <c r="J17" s="4" t="s">
        <v>24</v>
      </c>
      <c r="K17" s="36">
        <f>SUM('1 Salary Summary'!C12:C17)</f>
        <v>80849.705999999991</v>
      </c>
      <c r="L17" s="37">
        <f>'1 Salary Summary'!C22</f>
        <v>80849.705999999991</v>
      </c>
      <c r="M17" s="37">
        <f>L17-K17</f>
        <v>0</v>
      </c>
      <c r="N17" s="39">
        <f>(L17-K17)/K17</f>
        <v>0</v>
      </c>
    </row>
    <row r="18" spans="1:16" ht="15.5">
      <c r="A18" s="7" t="str">
        <f>Testing!B49</f>
        <v>St Catharines</v>
      </c>
      <c r="B18" s="64">
        <f>IF(B$3=$K$3,$L$3,IF(B$3=$K$4,$L$4,IF(B$3=$K$5,$L$5,IF(B$3=$K$6,$L$6,$L$7))))*(SUM(B$4:B$8)+_xlfn.XLOOKUP($A18,Testing!$B$43:$B$71,Testing!$L$43:$L$71))</f>
        <v>82761.2</v>
      </c>
      <c r="C18" s="64">
        <f>IF(C$3=$K$3,$L$3,IF(C$3=$K$4,$L$4,IF(C$3=$K$5,$L$5,IF(C$3=$K$6,$L$6,$L$7))))*(SUM(C$4:C$8)+_xlfn.XLOOKUP($A18,Testing!$B$43:$B$71,Testing!$M$43:$M$71))</f>
        <v>84165.27919999999</v>
      </c>
      <c r="D18" s="61">
        <f t="shared" si="0"/>
        <v>1.696542824415297E-2</v>
      </c>
      <c r="E18" s="7" t="str">
        <f>IF(Testing!$I49&gt;Testing!$H49,"House price increased","")</f>
        <v/>
      </c>
      <c r="J18" s="5" t="s">
        <v>26</v>
      </c>
      <c r="K18" s="65">
        <f>K17*Variables!D33</f>
        <v>75190.226580000002</v>
      </c>
      <c r="L18" s="37">
        <f>'1 Salary Summary'!C23</f>
        <v>75190.226580000002</v>
      </c>
      <c r="M18" s="37">
        <f t="shared" ref="M18:M21" si="1">L18-K18</f>
        <v>0</v>
      </c>
      <c r="N18" s="39">
        <f>(L18-K18)/K18</f>
        <v>0</v>
      </c>
      <c r="P18" s="68"/>
    </row>
    <row r="19" spans="1:16" ht="15.5">
      <c r="A19" s="7" t="str">
        <f>Testing!B50</f>
        <v>Lindsay</v>
      </c>
      <c r="B19" s="64">
        <f>IF(B$3=$K$3,$L$3,IF(B$3=$K$4,$L$4,IF(B$3=$K$5,$L$5,IF(B$3=$K$6,$L$6,$L$7))))*(SUM(B$4:B$8)+_xlfn.XLOOKUP($A19,Testing!$B$43:$B$71,Testing!$L$43:$L$71))</f>
        <v>83782.2</v>
      </c>
      <c r="C19" s="64">
        <f>IF(C$3=$K$3,$L$3,IF(C$3=$K$4,$L$4,IF(C$3=$K$5,$L$5,IF(C$3=$K$6,$L$6,$L$7))))*(SUM(C$4:C$8)+_xlfn.XLOOKUP($A19,Testing!$B$43:$B$71,Testing!$M$43:$M$71))</f>
        <v>85203.636199999979</v>
      </c>
      <c r="D19" s="61">
        <f t="shared" si="0"/>
        <v>1.6965849547994467E-2</v>
      </c>
      <c r="E19" s="7" t="str">
        <f>IF(Testing!$I50&gt;Testing!$H50,"House price increased","")</f>
        <v/>
      </c>
      <c r="J19" s="5" t="s">
        <v>28</v>
      </c>
      <c r="K19" s="37">
        <f>K17*Variables!D34</f>
        <v>68722.25009999999</v>
      </c>
      <c r="L19" s="37">
        <f>'1 Salary Summary'!C24</f>
        <v>68722.25009999999</v>
      </c>
      <c r="M19" s="37">
        <f t="shared" si="1"/>
        <v>0</v>
      </c>
      <c r="N19" s="39">
        <f>(L19-K19)/K19</f>
        <v>0</v>
      </c>
    </row>
    <row r="20" spans="1:16" ht="15.5">
      <c r="A20" s="7" t="str">
        <f>Testing!B51</f>
        <v>Windsor</v>
      </c>
      <c r="B20" s="64">
        <f>IF(B$3=$K$3,$L$3,IF(B$3=$K$4,$L$4,IF(B$3=$K$5,$L$5,IF(B$3=$K$6,$L$6,$L$7))))*(SUM(B$4:B$8)+_xlfn.XLOOKUP($A20,Testing!$B$43:$B$71,Testing!$L$43:$L$71))</f>
        <v>82863.199999999997</v>
      </c>
      <c r="C20" s="64">
        <f>IF(C$3=$K$3,$L$3,IF(C$3=$K$4,$L$4,IF(C$3=$K$5,$L$5,IF(C$3=$K$6,$L$6,$L$7))))*(SUM(C$4:C$8)+_xlfn.XLOOKUP($A20,Testing!$B$43:$B$71,Testing!$M$43:$M$71))</f>
        <v>84269.013199999987</v>
      </c>
      <c r="D20" s="61">
        <f t="shared" si="0"/>
        <v>1.6965470800065524E-2</v>
      </c>
      <c r="E20" s="7" t="str">
        <f>IF(Testing!$I51&gt;Testing!$H51,"House price increased","")</f>
        <v/>
      </c>
      <c r="J20" s="5" t="s">
        <v>30</v>
      </c>
      <c r="K20" s="37">
        <f>K17*Variables!D35</f>
        <v>63062.770679999994</v>
      </c>
      <c r="L20" s="37">
        <f>'1 Salary Summary'!C25</f>
        <v>63062.770679999994</v>
      </c>
      <c r="M20" s="45">
        <f t="shared" si="1"/>
        <v>0</v>
      </c>
      <c r="N20" s="39">
        <f>(L20-K20)/K20</f>
        <v>0</v>
      </c>
    </row>
    <row r="21" spans="1:16" ht="15.5">
      <c r="A21" s="7" t="str">
        <f>Testing!B52</f>
        <v>Montreal</v>
      </c>
      <c r="B21" s="64">
        <f>IF(B$3=$K$3,$L$3,IF(B$3=$K$4,$L$4,IF(B$3=$K$5,$L$5,IF(B$3=$K$6,$L$6,$L$7))))*(SUM(B$4:B$8)+_xlfn.XLOOKUP($A21,Testing!$B$43:$B$71,Testing!$L$43:$L$71))</f>
        <v>84701.2</v>
      </c>
      <c r="C21" s="64">
        <f>IF(C$3=$K$3,$L$3,IF(C$3=$K$4,$L$4,IF(C$3=$K$5,$L$5,IF(C$3=$K$6,$L$6,$L$7))))*(SUM(C$4:C$8)+_xlfn.XLOOKUP($A21,Testing!$B$43:$B$71,Testing!$M$43:$M$71))</f>
        <v>86138.259199999986</v>
      </c>
      <c r="D21" s="61">
        <f t="shared" si="0"/>
        <v>1.6966220077165244E-2</v>
      </c>
      <c r="E21" s="7" t="str">
        <f>IF(Testing!$I52&gt;Testing!$H52,"House price increased","")</f>
        <v/>
      </c>
      <c r="J21" s="5" t="s">
        <v>33</v>
      </c>
      <c r="K21" s="37">
        <f>K17*Variables!D36</f>
        <v>56594.794199999989</v>
      </c>
      <c r="L21" s="37">
        <f>'1 Salary Summary'!C26</f>
        <v>56594.794199999989</v>
      </c>
      <c r="M21" s="45">
        <f t="shared" si="1"/>
        <v>0</v>
      </c>
      <c r="N21" s="39">
        <f>(L21-K21)/K21</f>
        <v>0</v>
      </c>
    </row>
    <row r="22" spans="1:16" ht="15.5">
      <c r="A22" s="7" t="str">
        <f>Testing!B53</f>
        <v>London</v>
      </c>
      <c r="B22" s="64">
        <f>IF(B$3=$K$3,$L$3,IF(B$3=$K$4,$L$4,IF(B$3=$K$5,$L$5,IF(B$3=$K$6,$L$6,$L$7))))*(SUM(B$4:B$8)+_xlfn.XLOOKUP($A22,Testing!$B$43:$B$71,Testing!$L$43:$L$71))</f>
        <v>85620.2</v>
      </c>
      <c r="C22" s="64">
        <f>IF(C$3=$K$3,$L$3,IF(C$3=$K$4,$L$4,IF(C$3=$K$5,$L$5,IF(C$3=$K$6,$L$6,$L$7))))*(SUM(C$4:C$8)+_xlfn.XLOOKUP($A22,Testing!$B$43:$B$71,Testing!$M$43:$M$71))</f>
        <v>87072.882199999993</v>
      </c>
      <c r="D22" s="61">
        <f t="shared" si="0"/>
        <v>1.6966582652224543E-2</v>
      </c>
      <c r="E22" s="7" t="str">
        <f>IF(Testing!$I53&gt;Testing!$H53,"House price increased","")</f>
        <v/>
      </c>
      <c r="I22" s="43"/>
      <c r="J22" s="43"/>
      <c r="K22" s="43"/>
      <c r="L22" s="43"/>
      <c r="M22" s="43"/>
      <c r="N22" s="43"/>
    </row>
    <row r="23" spans="1:16" ht="15.5">
      <c r="A23" s="7" t="str">
        <f>Testing!B54</f>
        <v>Paris</v>
      </c>
      <c r="B23" s="64">
        <f>IF(B$3=$K$3,$L$3,IF(B$3=$K$4,$L$4,IF(B$3=$K$5,$L$5,IF(B$3=$K$6,$L$6,$L$7))))*(SUM(B$4:B$8)+_xlfn.XLOOKUP($A23,Testing!$B$43:$B$71,Testing!$L$43:$L$71))</f>
        <v>87457.2</v>
      </c>
      <c r="C23" s="64">
        <f>IF(C$3=$K$3,$L$3,IF(C$3=$K$4,$L$4,IF(C$3=$K$5,$L$5,IF(C$3=$K$6,$L$6,$L$7))))*(SUM(C$4:C$8)+_xlfn.XLOOKUP($A23,Testing!$B$43:$B$71,Testing!$M$43:$M$71))</f>
        <v>88941.111199999985</v>
      </c>
      <c r="D23" s="61">
        <f t="shared" si="0"/>
        <v>1.6967284568908995E-2</v>
      </c>
      <c r="E23" s="7" t="str">
        <f>IF(Testing!$I54&gt;Testing!$H54,"House price increased","")</f>
        <v/>
      </c>
    </row>
    <row r="24" spans="1:16" ht="15.5">
      <c r="A24" s="7" t="str">
        <f>Testing!B55</f>
        <v>Markdale</v>
      </c>
      <c r="B24" s="64">
        <f>IF(B$3=$K$3,$L$3,IF(B$3=$K$4,$L$4,IF(B$3=$K$5,$L$5,IF(B$3=$K$6,$L$6,$L$7))))*(SUM(B$4:B$8)+_xlfn.XLOOKUP($A24,Testing!$B$43:$B$71,Testing!$L$43:$L$71))</f>
        <v>87457.2</v>
      </c>
      <c r="C24" s="64">
        <f>IF(C$3=$K$3,$L$3,IF(C$3=$K$4,$L$4,IF(C$3=$K$5,$L$5,IF(C$3=$K$6,$L$6,$L$7))))*(SUM(C$4:C$8)+_xlfn.XLOOKUP($A24,Testing!$B$43:$B$71,Testing!$M$43:$M$71))</f>
        <v>88941.111199999985</v>
      </c>
      <c r="D24" s="61">
        <f t="shared" si="0"/>
        <v>1.6967284568908995E-2</v>
      </c>
      <c r="E24" s="7" t="str">
        <f>IF(Testing!$I55&gt;Testing!$H55,"House price increased","")</f>
        <v/>
      </c>
    </row>
    <row r="25" spans="1:16" ht="15.5">
      <c r="A25" s="7" t="str">
        <f>Testing!B56</f>
        <v>Hamilton</v>
      </c>
      <c r="B25" s="64">
        <f>IF(B$3=$K$3,$L$3,IF(B$3=$K$4,$L$4,IF(B$3=$K$5,$L$5,IF(B$3=$K$6,$L$6,$L$7))))*(SUM(B$4:B$8)+_xlfn.XLOOKUP($A25,Testing!$B$43:$B$71,Testing!$L$43:$L$71))</f>
        <v>87457.2</v>
      </c>
      <c r="C25" s="64">
        <f>IF(C$3=$K$3,$L$3,IF(C$3=$K$4,$L$4,IF(C$3=$K$5,$L$5,IF(C$3=$K$6,$L$6,$L$7))))*(SUM(C$4:C$8)+_xlfn.XLOOKUP($A25,Testing!$B$43:$B$71,Testing!$M$43:$M$71))</f>
        <v>88941.111199999985</v>
      </c>
      <c r="D25" s="61">
        <f t="shared" si="0"/>
        <v>1.6967284568908995E-2</v>
      </c>
      <c r="E25" s="7" t="str">
        <f>IF(Testing!$I56&gt;Testing!$H56,"House price increased","")</f>
        <v/>
      </c>
    </row>
    <row r="26" spans="1:16" ht="15.5">
      <c r="A26" s="7" t="str">
        <f>Testing!B57</f>
        <v>Cambridge &amp; KW</v>
      </c>
      <c r="B26" s="64">
        <f>IF(B$3=$K$3,$L$3,IF(B$3=$K$4,$L$4,IF(B$3=$K$5,$L$5,IF(B$3=$K$6,$L$6,$L$7))))*(SUM(B$4:B$8)+_xlfn.XLOOKUP($A26,Testing!$B$43:$B$71,Testing!$L$43:$L$71))</f>
        <v>87457.2</v>
      </c>
      <c r="C26" s="64">
        <f>IF(C$3=$K$3,$L$3,IF(C$3=$K$4,$L$4,IF(C$3=$K$5,$L$5,IF(C$3=$K$6,$L$6,$L$7))))*(SUM(C$4:C$8)+_xlfn.XLOOKUP($A26,Testing!$B$43:$B$71,Testing!$M$43:$M$71))</f>
        <v>88941.111199999985</v>
      </c>
      <c r="D26" s="61">
        <f t="shared" si="0"/>
        <v>1.6967284568908995E-2</v>
      </c>
      <c r="E26" s="7" t="str">
        <f>IF(Testing!$I57&gt;Testing!$H57,"House price increased","")</f>
        <v/>
      </c>
    </row>
    <row r="27" spans="1:16" ht="15.5">
      <c r="A27" s="7" t="str">
        <f>Testing!B58</f>
        <v>Brantford</v>
      </c>
      <c r="B27" s="64">
        <f>IF(B$3=$K$3,$L$3,IF(B$3=$K$4,$L$4,IF(B$3=$K$5,$L$5,IF(B$3=$K$6,$L$6,$L$7))))*(SUM(B$4:B$8)+_xlfn.XLOOKUP($A27,Testing!$B$43:$B$71,Testing!$L$43:$L$71))</f>
        <v>87457.2</v>
      </c>
      <c r="C27" s="64">
        <f>IF(C$3=$K$3,$L$3,IF(C$3=$K$4,$L$4,IF(C$3=$K$5,$L$5,IF(C$3=$K$6,$L$6,$L$7))))*(SUM(C$4:C$8)+_xlfn.XLOOKUP($A27,Testing!$B$43:$B$71,Testing!$M$43:$M$71))</f>
        <v>88941.111199999985</v>
      </c>
      <c r="D27" s="61">
        <f t="shared" si="0"/>
        <v>1.6967284568908995E-2</v>
      </c>
      <c r="E27" s="7" t="str">
        <f>IF(Testing!$I58&gt;Testing!$H58,"House price increased","")</f>
        <v/>
      </c>
    </row>
    <row r="28" spans="1:16" ht="15.5">
      <c r="A28" s="7" t="str">
        <f>Testing!B59</f>
        <v>Ottawa</v>
      </c>
      <c r="B28" s="64">
        <f>IF(B$3=$K$3,$L$3,IF(B$3=$K$4,$L$4,IF(B$3=$K$5,$L$5,IF(B$3=$K$6,$L$6,$L$7))))*(SUM(B$4:B$8)+_xlfn.XLOOKUP($A28,Testing!$B$43:$B$71,Testing!$L$43:$L$71))</f>
        <v>88376.2</v>
      </c>
      <c r="C28" s="64">
        <f>IF(C$3=$K$3,$L$3,IF(C$3=$K$4,$L$4,IF(C$3=$K$5,$L$5,IF(C$3=$K$6,$L$6,$L$7))))*(SUM(C$4:C$8)+_xlfn.XLOOKUP($A28,Testing!$B$43:$B$71,Testing!$M$43:$M$71))</f>
        <v>89875.734199999977</v>
      </c>
      <c r="D28" s="61">
        <f t="shared" si="0"/>
        <v>1.6967624767753989E-2</v>
      </c>
      <c r="E28" s="7" t="str">
        <f>IF(Testing!$I59&gt;Testing!$H59,"House price increased","")</f>
        <v/>
      </c>
    </row>
    <row r="29" spans="1:16" ht="15.5">
      <c r="A29" s="7" t="str">
        <f>Testing!B60</f>
        <v>Barrie</v>
      </c>
      <c r="B29" s="64">
        <f>IF(B$3=$K$3,$L$3,IF(B$3=$K$4,$L$4,IF(B$3=$K$5,$L$5,IF(B$3=$K$6,$L$6,$L$7))))*(SUM(B$4:B$8)+_xlfn.XLOOKUP($A29,Testing!$B$43:$B$71,Testing!$L$43:$L$71))</f>
        <v>89295.2</v>
      </c>
      <c r="C29" s="64">
        <f>IF(C$3=$K$3,$L$3,IF(C$3=$K$4,$L$4,IF(C$3=$K$5,$L$5,IF(C$3=$K$6,$L$6,$L$7))))*(SUM(C$4:C$8)+_xlfn.XLOOKUP($A29,Testing!$B$43:$B$71,Testing!$M$43:$M$71))</f>
        <v>90810.357199999984</v>
      </c>
      <c r="D29" s="61">
        <f t="shared" si="0"/>
        <v>1.6967957964145745E-2</v>
      </c>
      <c r="E29" s="7" t="str">
        <f>IF(Testing!$I60&gt;Testing!$H60,"House price increased","")</f>
        <v/>
      </c>
      <c r="H29" s="61"/>
    </row>
    <row r="30" spans="1:16" ht="15.5">
      <c r="A30" s="7" t="str">
        <f>Testing!B61</f>
        <v>Huntsville</v>
      </c>
      <c r="B30" s="64">
        <f>IF(B$3=$K$3,$L$3,IF(B$3=$K$4,$L$4,IF(B$3=$K$5,$L$5,IF(B$3=$K$6,$L$6,$L$7))))*(SUM(B$4:B$8)+_xlfn.XLOOKUP($A30,Testing!$B$43:$B$71,Testing!$L$43:$L$71))</f>
        <v>88376.2</v>
      </c>
      <c r="C30" s="64">
        <f>IF(C$3=$K$3,$L$3,IF(C$3=$K$4,$L$4,IF(C$3=$K$5,$L$5,IF(C$3=$K$6,$L$6,$L$7))))*(SUM(C$4:C$8)+_xlfn.XLOOKUP($A30,Testing!$B$43:$B$71,Testing!$M$43:$M$71))</f>
        <v>89875.734199999977</v>
      </c>
      <c r="D30" s="61">
        <f t="shared" si="0"/>
        <v>1.6967624767753989E-2</v>
      </c>
      <c r="E30" s="7" t="str">
        <f>IF(Testing!$I61&gt;Testing!$H61,"House price increased","")</f>
        <v/>
      </c>
    </row>
    <row r="31" spans="1:16" ht="15.5">
      <c r="A31" s="7" t="str">
        <f>Testing!B62</f>
        <v>Fergus</v>
      </c>
      <c r="B31" s="64">
        <f>IF(B$3=$K$3,$L$3,IF(B$3=$K$4,$L$4,IF(B$3=$K$5,$L$5,IF(B$3=$K$6,$L$6,$L$7))))*(SUM(B$4:B$8)+_xlfn.XLOOKUP($A31,Testing!$B$43:$B$71,Testing!$L$43:$L$71))</f>
        <v>89295.2</v>
      </c>
      <c r="C31" s="64">
        <f>IF(C$3=$K$3,$L$3,IF(C$3=$K$4,$L$4,IF(C$3=$K$5,$L$5,IF(C$3=$K$6,$L$6,$L$7))))*(SUM(C$4:C$8)+_xlfn.XLOOKUP($A31,Testing!$B$43:$B$71,Testing!$M$43:$M$71))</f>
        <v>90810.357199999984</v>
      </c>
      <c r="D31" s="61">
        <f t="shared" si="0"/>
        <v>1.6967957964145745E-2</v>
      </c>
      <c r="E31" s="7" t="str">
        <f>IF(Testing!$I62&gt;Testing!$H62,"House price increased","")</f>
        <v/>
      </c>
    </row>
    <row r="32" spans="1:16" ht="15.5">
      <c r="A32" s="7" t="str">
        <f>Testing!B63</f>
        <v>Oshawa</v>
      </c>
      <c r="B32" s="64">
        <f>IF(B$3=$K$3,$L$3,IF(B$3=$K$4,$L$4,IF(B$3=$K$5,$L$5,IF(B$3=$K$6,$L$6,$L$7))))*(SUM(B$4:B$8)+_xlfn.XLOOKUP($A32,Testing!$B$43:$B$71,Testing!$L$43:$L$71))</f>
        <v>92052.2</v>
      </c>
      <c r="C32" s="64">
        <f>IF(C$3=$K$3,$L$3,IF(C$3=$K$4,$L$4,IF(C$3=$K$5,$L$5,IF(C$3=$K$6,$L$6,$L$7))))*(SUM(C$4:C$8)+_xlfn.XLOOKUP($A32,Testing!$B$43:$B$71,Testing!$M$43:$M$71))</f>
        <v>93614.22619999999</v>
      </c>
      <c r="D32" s="61">
        <f t="shared" si="0"/>
        <v>1.6968917635863053E-2</v>
      </c>
      <c r="E32" s="7" t="str">
        <f>IF(Testing!$I63&gt;Testing!$H63,"House price increased","")</f>
        <v/>
      </c>
    </row>
    <row r="33" spans="1:13" ht="15.5">
      <c r="A33" s="7" t="str">
        <f>Testing!B64</f>
        <v>Guelph</v>
      </c>
      <c r="B33" s="64">
        <f>IF(B$3=$K$3,$L$3,IF(B$3=$K$4,$L$4,IF(B$3=$K$5,$L$5,IF(B$3=$K$6,$L$6,$L$7))))*(SUM(B$4:B$8)+_xlfn.XLOOKUP($A33,Testing!$B$43:$B$71,Testing!$L$43:$L$71))</f>
        <v>92052.2</v>
      </c>
      <c r="C33" s="64">
        <f>IF(C$3=$K$3,$L$3,IF(C$3=$K$4,$L$4,IF(C$3=$K$5,$L$5,IF(C$3=$K$6,$L$6,$L$7))))*(SUM(C$4:C$8)+_xlfn.XLOOKUP($A33,Testing!$B$43:$B$71,Testing!$M$43:$M$71))</f>
        <v>93614.22619999999</v>
      </c>
      <c r="D33" s="61">
        <f t="shared" si="0"/>
        <v>1.6968917635863053E-2</v>
      </c>
      <c r="E33" s="7" t="str">
        <f>IF(Testing!$I64&gt;Testing!$H64,"House price increased","")</f>
        <v/>
      </c>
    </row>
    <row r="34" spans="1:13" ht="15.5">
      <c r="A34" s="7" t="str">
        <f>Testing!B65</f>
        <v>Whitby</v>
      </c>
      <c r="B34" s="64">
        <f>IF(B$3=$K$3,$L$3,IF(B$3=$K$4,$L$4,IF(B$3=$K$5,$L$5,IF(B$3=$K$6,$L$6,$L$7))))*(SUM(B$4:B$8)+_xlfn.XLOOKUP($A34,Testing!$B$43:$B$71,Testing!$L$43:$L$71))</f>
        <v>93890.2</v>
      </c>
      <c r="C34" s="64">
        <f>IF(C$3=$K$3,$L$3,IF(C$3=$K$4,$L$4,IF(C$3=$K$5,$L$5,IF(C$3=$K$6,$L$6,$L$7))))*(SUM(C$4:C$8)+_xlfn.XLOOKUP($A34,Testing!$B$43:$B$71,Testing!$M$43:$M$71))</f>
        <v>95483.472199999989</v>
      </c>
      <c r="D34" s="61">
        <f t="shared" si="0"/>
        <v>1.6969526106025892E-2</v>
      </c>
      <c r="E34" s="7" t="str">
        <f>IF(Testing!$I65&gt;Testing!$H65,"House price increased","")</f>
        <v/>
      </c>
    </row>
    <row r="35" spans="1:13" ht="15.5">
      <c r="A35" s="7" t="str">
        <f>Testing!B66</f>
        <v>Ajax</v>
      </c>
      <c r="B35" s="64">
        <f>IF(B$3=$K$3,$L$3,IF(B$3=$K$4,$L$4,IF(B$3=$K$5,$L$5,IF(B$3=$K$6,$L$6,$L$7))))*(SUM(B$4:B$8)+_xlfn.XLOOKUP($A35,Testing!$B$43:$B$71,Testing!$L$43:$L$71))</f>
        <v>94809.2</v>
      </c>
      <c r="C35" s="64">
        <f>IF(C$3=$K$3,$L$3,IF(C$3=$K$4,$L$4,IF(C$3=$K$5,$L$5,IF(C$3=$K$6,$L$6,$L$7))))*(SUM(C$4:C$8)+_xlfn.XLOOKUP($A35,Testing!$B$43:$B$71,Testing!$M$43:$M$71))</f>
        <v>96418.095199999982</v>
      </c>
      <c r="D35" s="61">
        <f t="shared" si="0"/>
        <v>1.6969821494116442E-2</v>
      </c>
      <c r="E35" s="7" t="str">
        <f>IF(Testing!$I66&gt;Testing!$H66,"House price increased","")</f>
        <v/>
      </c>
    </row>
    <row r="36" spans="1:13" ht="15.5">
      <c r="A36" s="7" t="str">
        <f>Testing!B67</f>
        <v>Burlington</v>
      </c>
      <c r="B36" s="64">
        <f>IF(B$3=$K$3,$L$3,IF(B$3=$K$4,$L$4,IF(B$3=$K$5,$L$5,IF(B$3=$K$6,$L$6,$L$7))))*(SUM(B$4:B$8)+_xlfn.XLOOKUP($A36,Testing!$B$43:$B$71,Testing!$L$43:$L$71))</f>
        <v>96646.2</v>
      </c>
      <c r="C36" s="64">
        <f>IF(C$3=$K$3,$L$3,IF(C$3=$K$4,$L$4,IF(C$3=$K$5,$L$5,IF(C$3=$K$6,$L$6,$L$7))))*(SUM(C$4:C$8)+_xlfn.XLOOKUP($A36,Testing!$B$43:$B$71,Testing!$M$43:$M$71))</f>
        <v>98286.324199999988</v>
      </c>
      <c r="D36" s="61">
        <f t="shared" si="0"/>
        <v>1.6970395111240703E-2</v>
      </c>
      <c r="E36" s="7" t="str">
        <f>IF(Testing!$I67&gt;Testing!$H67,"House price increased","")</f>
        <v/>
      </c>
    </row>
    <row r="37" spans="1:13" ht="15.5">
      <c r="A37" s="7" t="str">
        <f>Testing!B68</f>
        <v>Toronto Etobicoke</v>
      </c>
      <c r="B37" s="64">
        <f>IF(B$3=$K$3,$L$3,IF(B$3=$K$4,$L$4,IF(B$3=$K$5,$L$5,IF(B$3=$K$6,$L$6,$L$7))))*(SUM(B$4:B$8)+_xlfn.XLOOKUP($A37,Testing!$B$43:$B$71,Testing!$L$43:$L$71))</f>
        <v>99505.2</v>
      </c>
      <c r="C37" s="64">
        <f>IF(C$3=$K$3,$L$3,IF(C$3=$K$4,$L$4,IF(C$3=$K$5,$L$5,IF(C$3=$K$6,$L$6,$L$7))))*(SUM(C$4:C$8)+_xlfn.XLOOKUP($A37,Testing!$B$43:$B$71,Testing!$M$43:$M$71))</f>
        <v>101193.92719999998</v>
      </c>
      <c r="D37" s="61">
        <f t="shared" si="0"/>
        <v>1.6971245723841361E-2</v>
      </c>
      <c r="E37" s="7" t="str">
        <f>IF(Testing!$I68&gt;Testing!$H68,"House price increased","")</f>
        <v/>
      </c>
    </row>
    <row r="38" spans="1:13" ht="15.5">
      <c r="A38" s="7" t="str">
        <f>Testing!B69</f>
        <v>Toronto Scarborough</v>
      </c>
      <c r="B38" s="64">
        <f>IF(B$3=$K$3,$L$3,IF(B$3=$K$4,$L$4,IF(B$3=$K$5,$L$5,IF(B$3=$K$6,$L$6,$L$7))))*(SUM(B$4:B$8)+_xlfn.XLOOKUP($A38,Testing!$B$43:$B$71,Testing!$L$43:$L$71))</f>
        <v>101343.2</v>
      </c>
      <c r="C38" s="64">
        <f>IF(C$3=$K$3,$L$3,IF(C$3=$K$4,$L$4,IF(C$3=$K$5,$L$5,IF(C$3=$K$6,$L$6,$L$7))))*(SUM(C$4:C$8)+_xlfn.XLOOKUP($A38,Testing!$B$43:$B$71,Testing!$M$43:$M$71))</f>
        <v>103063.17319999999</v>
      </c>
      <c r="D38" s="61">
        <f t="shared" si="0"/>
        <v>1.6971767222665093E-2</v>
      </c>
      <c r="E38" s="7" t="str">
        <f>IF(Testing!$I69&gt;Testing!$H69,"House price increased","")</f>
        <v/>
      </c>
    </row>
    <row r="39" spans="1:13" ht="15.5">
      <c r="A39" s="7" t="str">
        <f>Testing!B70</f>
        <v>Mississauga</v>
      </c>
      <c r="B39" s="64">
        <f>IF(B$3=$K$3,$L$3,IF(B$3=$K$4,$L$4,IF(B$3=$K$5,$L$5,IF(B$3=$K$6,$L$6,$L$7))))*(SUM(B$4:B$8)+_xlfn.XLOOKUP($A39,Testing!$B$43:$B$71,Testing!$L$43:$L$71))</f>
        <v>101343.2</v>
      </c>
      <c r="C39" s="64">
        <f>IF(C$3=$K$3,$L$3,IF(C$3=$K$4,$L$4,IF(C$3=$K$5,$L$5,IF(C$3=$K$6,$L$6,$L$7))))*(SUM(C$4:C$8)+_xlfn.XLOOKUP($A39,Testing!$B$43:$B$71,Testing!$M$43:$M$71))</f>
        <v>103063.17319999999</v>
      </c>
      <c r="D39" s="61">
        <f t="shared" si="0"/>
        <v>1.6971767222665093E-2</v>
      </c>
      <c r="E39" s="7" t="str">
        <f>IF(Testing!$I70&gt;Testing!$H70,"House price increased","")</f>
        <v/>
      </c>
    </row>
    <row r="40" spans="1:13" ht="15.5">
      <c r="A40" s="7" t="str">
        <f>Testing!B71</f>
        <v>Oakville</v>
      </c>
      <c r="B40" s="64">
        <f>IF(B$3=$K$3,$L$3,IF(B$3=$K$4,$L$4,IF(B$3=$K$5,$L$5,IF(B$3=$K$6,$L$6,$L$7))))*(SUM(B$4:B$8)+_xlfn.XLOOKUP($A40,Testing!$B$43:$B$71,Testing!$L$43:$L$71))</f>
        <v>105019.2</v>
      </c>
      <c r="C40" s="64">
        <f>IF(C$3=$K$3,$L$3,IF(C$3=$K$4,$L$4,IF(C$3=$K$5,$L$5,IF(C$3=$K$6,$L$6,$L$7))))*(SUM(C$4:C$8)+_xlfn.XLOOKUP($A40,Testing!$B$43:$B$71,Testing!$M$43:$M$71))</f>
        <v>106801.66519999999</v>
      </c>
      <c r="D40" s="61">
        <f t="shared" si="0"/>
        <v>1.6972755458049493E-2</v>
      </c>
      <c r="E40" s="7" t="str">
        <f>IF(Testing!$I71&gt;Testing!$H71,"House price increased","")</f>
        <v/>
      </c>
    </row>
    <row r="41" spans="1:13" s="124" customFormat="1" ht="15.75" customHeight="1" thickBot="1">
      <c r="B41" s="208" t="s">
        <v>273</v>
      </c>
      <c r="C41" s="209"/>
      <c r="D41" s="209"/>
      <c r="E41" s="209"/>
      <c r="H41" s="210" t="s">
        <v>274</v>
      </c>
      <c r="I41" s="209"/>
      <c r="J41" s="211" t="s">
        <v>275</v>
      </c>
      <c r="K41" s="212"/>
      <c r="M41" s="125"/>
    </row>
    <row r="42" spans="1:13" ht="15.75" customHeight="1">
      <c r="B42" s="3" t="s">
        <v>91</v>
      </c>
      <c r="C42" s="14">
        <v>2025</v>
      </c>
      <c r="D42" s="14">
        <v>2024</v>
      </c>
      <c r="E42" s="14">
        <v>2023</v>
      </c>
      <c r="F42" s="14">
        <v>2022</v>
      </c>
      <c r="H42" s="9" t="s">
        <v>276</v>
      </c>
      <c r="I42" s="9" t="s">
        <v>277</v>
      </c>
      <c r="J42" s="10" t="s">
        <v>94</v>
      </c>
      <c r="K42" s="10" t="s">
        <v>95</v>
      </c>
      <c r="L42" s="15" t="s">
        <v>278</v>
      </c>
      <c r="M42" s="46" t="s">
        <v>279</v>
      </c>
    </row>
    <row r="43" spans="1:13" ht="15.75" customHeight="1">
      <c r="B43" s="2" t="s">
        <v>99</v>
      </c>
      <c r="C43" s="16">
        <v>220000</v>
      </c>
      <c r="D43" s="6">
        <v>300000</v>
      </c>
      <c r="E43" s="6">
        <v>315617</v>
      </c>
      <c r="F43" s="6">
        <v>300000</v>
      </c>
      <c r="H43" s="6">
        <f t="shared" ref="H43:H71" si="2">CEILING(D43,25000)</f>
        <v>300000</v>
      </c>
      <c r="I43" s="6">
        <f t="shared" ref="I43:I71" si="3">IF((C43-D43)&gt;25000,H43+25000,H43)</f>
        <v>300000</v>
      </c>
      <c r="J43" s="6">
        <f t="shared" ref="J43:J71" si="4">-PMT(Interest / 12, Amort * 12, Principle * C43) + Util + Tax</f>
        <v>1889.7871706889789</v>
      </c>
      <c r="K43" s="6">
        <f t="shared" ref="K43:K71" si="5">+J43 * 12</f>
        <v>22677.446048267746</v>
      </c>
      <c r="L43" s="17"/>
      <c r="M43" s="47">
        <f t="shared" ref="M43:M71" si="6">IF(I43&gt;H43,(L43*COLA)+Housingadj,(L43*COLA))</f>
        <v>0</v>
      </c>
    </row>
    <row r="44" spans="1:13" ht="15.75" customHeight="1">
      <c r="B44" s="2" t="s">
        <v>100</v>
      </c>
      <c r="C44" s="16">
        <v>598850</v>
      </c>
      <c r="D44" s="6">
        <v>500000</v>
      </c>
      <c r="E44" s="6">
        <v>524000</v>
      </c>
      <c r="F44" s="6">
        <v>450000</v>
      </c>
      <c r="H44" s="6">
        <f t="shared" si="2"/>
        <v>500000</v>
      </c>
      <c r="I44" s="6">
        <f t="shared" si="3"/>
        <v>525000</v>
      </c>
      <c r="J44" s="6">
        <f t="shared" si="4"/>
        <v>3766.4502143958862</v>
      </c>
      <c r="K44" s="6">
        <f t="shared" si="5"/>
        <v>45197.402572750638</v>
      </c>
      <c r="L44" s="17">
        <v>7453</v>
      </c>
      <c r="M44" s="47">
        <f t="shared" si="6"/>
        <v>8514.2222999999994</v>
      </c>
    </row>
    <row r="45" spans="1:13" ht="15.75" customHeight="1">
      <c r="B45" s="2" t="s">
        <v>103</v>
      </c>
      <c r="C45" s="16">
        <v>616000</v>
      </c>
      <c r="D45" s="6">
        <v>527000</v>
      </c>
      <c r="E45" s="6">
        <v>567000</v>
      </c>
      <c r="F45" s="6">
        <v>550000</v>
      </c>
      <c r="H45" s="6">
        <f t="shared" si="2"/>
        <v>550000</v>
      </c>
      <c r="I45" s="6">
        <f t="shared" si="3"/>
        <v>575000</v>
      </c>
      <c r="J45" s="6">
        <f t="shared" si="4"/>
        <v>3851.4040779291408</v>
      </c>
      <c r="K45" s="6">
        <f t="shared" si="5"/>
        <v>46216.84893514969</v>
      </c>
      <c r="L45" s="17">
        <v>9291</v>
      </c>
      <c r="M45" s="47">
        <f t="shared" si="6"/>
        <v>10383.468299999999</v>
      </c>
    </row>
    <row r="46" spans="1:13" ht="15.75" customHeight="1">
      <c r="B46" s="2" t="s">
        <v>104</v>
      </c>
      <c r="C46" s="16">
        <v>629000</v>
      </c>
      <c r="D46" s="6">
        <v>631000</v>
      </c>
      <c r="E46" s="6">
        <v>597907</v>
      </c>
      <c r="F46" s="6">
        <v>0</v>
      </c>
      <c r="H46" s="6">
        <f t="shared" si="2"/>
        <v>650000</v>
      </c>
      <c r="I46" s="6">
        <f t="shared" si="3"/>
        <v>650000</v>
      </c>
      <c r="J46" s="6">
        <f t="shared" si="4"/>
        <v>3915.8005925607622</v>
      </c>
      <c r="K46" s="6">
        <f t="shared" si="5"/>
        <v>46989.60711072915</v>
      </c>
      <c r="L46" s="17">
        <v>11129</v>
      </c>
      <c r="M46" s="47">
        <f t="shared" si="6"/>
        <v>11318.192999999999</v>
      </c>
    </row>
    <row r="47" spans="1:13" ht="15.75" customHeight="1">
      <c r="B47" s="2" t="s">
        <v>105</v>
      </c>
      <c r="C47" s="16">
        <v>663000</v>
      </c>
      <c r="D47" s="6">
        <v>629000</v>
      </c>
      <c r="E47" s="6">
        <v>584000</v>
      </c>
      <c r="F47" s="6">
        <v>0</v>
      </c>
      <c r="H47" s="6">
        <f t="shared" si="2"/>
        <v>650000</v>
      </c>
      <c r="I47" s="6">
        <f t="shared" si="3"/>
        <v>675000</v>
      </c>
      <c r="J47" s="6">
        <f t="shared" si="4"/>
        <v>4084.2222462126952</v>
      </c>
      <c r="K47" s="6">
        <f t="shared" si="5"/>
        <v>49010.66695455234</v>
      </c>
      <c r="L47" s="17">
        <v>11129</v>
      </c>
      <c r="M47" s="47">
        <f t="shared" si="6"/>
        <v>12252.7143</v>
      </c>
    </row>
    <row r="48" spans="1:13" ht="15.75" customHeight="1">
      <c r="B48" s="2" t="s">
        <v>110</v>
      </c>
      <c r="C48" s="16">
        <v>670000</v>
      </c>
      <c r="D48" s="6">
        <v>629000</v>
      </c>
      <c r="E48" s="6">
        <v>597000</v>
      </c>
      <c r="F48" s="6">
        <v>550000</v>
      </c>
      <c r="H48" s="6">
        <f t="shared" si="2"/>
        <v>650000</v>
      </c>
      <c r="I48" s="6">
        <f t="shared" si="3"/>
        <v>675000</v>
      </c>
      <c r="J48" s="6">
        <f t="shared" si="4"/>
        <v>4118.8972925527996</v>
      </c>
      <c r="K48" s="6">
        <f t="shared" si="5"/>
        <v>49426.767510633596</v>
      </c>
      <c r="L48" s="17">
        <v>11129</v>
      </c>
      <c r="M48" s="47">
        <f t="shared" si="6"/>
        <v>12252.7143</v>
      </c>
    </row>
    <row r="49" spans="2:13" ht="15.75" customHeight="1">
      <c r="B49" s="2" t="s">
        <v>107</v>
      </c>
      <c r="C49" s="16">
        <v>569000</v>
      </c>
      <c r="D49" s="6">
        <v>608000</v>
      </c>
      <c r="E49" s="6">
        <v>603000</v>
      </c>
      <c r="F49" s="6">
        <v>500000</v>
      </c>
      <c r="H49" s="6">
        <f t="shared" si="2"/>
        <v>625000</v>
      </c>
      <c r="I49" s="6">
        <f t="shared" si="3"/>
        <v>625000</v>
      </c>
      <c r="J49" s="6">
        <f t="shared" si="4"/>
        <v>3618.5859096455861</v>
      </c>
      <c r="K49" s="6">
        <f t="shared" si="5"/>
        <v>43423.030915747033</v>
      </c>
      <c r="L49" s="17">
        <v>11027</v>
      </c>
      <c r="M49" s="47">
        <f t="shared" si="6"/>
        <v>11214.458999999999</v>
      </c>
    </row>
    <row r="50" spans="2:13" ht="15.75" customHeight="1">
      <c r="B50" s="2" t="s">
        <v>109</v>
      </c>
      <c r="C50" s="16">
        <v>650000</v>
      </c>
      <c r="D50" s="6">
        <v>685000</v>
      </c>
      <c r="E50" s="6">
        <v>619395</v>
      </c>
      <c r="F50" s="6">
        <v>525000</v>
      </c>
      <c r="H50" s="6">
        <f t="shared" si="2"/>
        <v>700000</v>
      </c>
      <c r="I50" s="6">
        <f t="shared" si="3"/>
        <v>700000</v>
      </c>
      <c r="J50" s="6">
        <f t="shared" si="4"/>
        <v>4019.8257315810738</v>
      </c>
      <c r="K50" s="6">
        <f t="shared" si="5"/>
        <v>48237.908778972887</v>
      </c>
      <c r="L50" s="17">
        <v>12048</v>
      </c>
      <c r="M50" s="47">
        <f t="shared" si="6"/>
        <v>12252.815999999999</v>
      </c>
    </row>
    <row r="51" spans="2:13" ht="15.75" customHeight="1">
      <c r="B51" s="2" t="s">
        <v>101</v>
      </c>
      <c r="C51" s="16">
        <v>519000</v>
      </c>
      <c r="D51" s="6">
        <v>535000</v>
      </c>
      <c r="E51" s="6">
        <v>616000</v>
      </c>
      <c r="F51" s="6">
        <v>475000</v>
      </c>
      <c r="H51" s="6">
        <f t="shared" si="2"/>
        <v>550000</v>
      </c>
      <c r="I51" s="6">
        <f t="shared" si="3"/>
        <v>550000</v>
      </c>
      <c r="J51" s="6">
        <f t="shared" si="4"/>
        <v>3370.9070072162726</v>
      </c>
      <c r="K51" s="6">
        <f t="shared" si="5"/>
        <v>40450.884086595273</v>
      </c>
      <c r="L51" s="17">
        <v>11129</v>
      </c>
      <c r="M51" s="47">
        <f t="shared" si="6"/>
        <v>11318.192999999999</v>
      </c>
    </row>
    <row r="52" spans="2:13" ht="15.75" customHeight="1">
      <c r="B52" s="2" t="s">
        <v>108</v>
      </c>
      <c r="C52" s="16">
        <v>670000</v>
      </c>
      <c r="D52" s="6">
        <v>671321</v>
      </c>
      <c r="E52" s="6">
        <v>671321</v>
      </c>
      <c r="F52" s="6">
        <v>500000</v>
      </c>
      <c r="H52" s="6">
        <f t="shared" si="2"/>
        <v>675000</v>
      </c>
      <c r="I52" s="6">
        <f t="shared" si="3"/>
        <v>675000</v>
      </c>
      <c r="J52" s="6">
        <f t="shared" si="4"/>
        <v>4118.8972925527996</v>
      </c>
      <c r="K52" s="6">
        <f t="shared" si="5"/>
        <v>49426.767510633596</v>
      </c>
      <c r="L52" s="17">
        <v>12967</v>
      </c>
      <c r="M52" s="47">
        <f t="shared" si="6"/>
        <v>13187.438999999998</v>
      </c>
    </row>
    <row r="53" spans="2:13" ht="15.75" customHeight="1">
      <c r="B53" s="2" t="s">
        <v>112</v>
      </c>
      <c r="C53" s="16">
        <v>626000</v>
      </c>
      <c r="D53" s="6">
        <v>674000</v>
      </c>
      <c r="E53" s="6">
        <v>688150</v>
      </c>
      <c r="F53" s="6">
        <v>600000</v>
      </c>
      <c r="H53" s="6">
        <f t="shared" si="2"/>
        <v>675000</v>
      </c>
      <c r="I53" s="6">
        <f t="shared" si="3"/>
        <v>675000</v>
      </c>
      <c r="J53" s="6">
        <f t="shared" si="4"/>
        <v>3900.9398584150031</v>
      </c>
      <c r="K53" s="6">
        <f t="shared" si="5"/>
        <v>46811.278300980033</v>
      </c>
      <c r="L53" s="17">
        <v>13886</v>
      </c>
      <c r="M53" s="47">
        <f t="shared" si="6"/>
        <v>14122.061999999998</v>
      </c>
    </row>
    <row r="54" spans="2:13" ht="15.75" customHeight="1">
      <c r="B54" s="2" t="s">
        <v>117</v>
      </c>
      <c r="C54" s="16">
        <v>637000</v>
      </c>
      <c r="D54" s="6">
        <v>746000</v>
      </c>
      <c r="E54" s="6">
        <v>704000</v>
      </c>
      <c r="F54" s="6">
        <v>650000</v>
      </c>
      <c r="H54" s="6">
        <f t="shared" si="2"/>
        <v>750000</v>
      </c>
      <c r="I54" s="6">
        <f t="shared" si="3"/>
        <v>750000</v>
      </c>
      <c r="J54" s="6">
        <f t="shared" si="4"/>
        <v>3955.4292169494524</v>
      </c>
      <c r="K54" s="6">
        <f t="shared" si="5"/>
        <v>47465.150603393427</v>
      </c>
      <c r="L54" s="17">
        <v>15723</v>
      </c>
      <c r="M54" s="47">
        <f t="shared" si="6"/>
        <v>15990.290999999999</v>
      </c>
    </row>
    <row r="55" spans="2:13" ht="15.75" customHeight="1">
      <c r="B55" s="2" t="s">
        <v>102</v>
      </c>
      <c r="C55" s="16">
        <v>534000</v>
      </c>
      <c r="D55" s="6">
        <v>577000</v>
      </c>
      <c r="E55" s="6">
        <v>646000</v>
      </c>
      <c r="F55" s="6">
        <v>500000</v>
      </c>
      <c r="H55" s="6">
        <f t="shared" si="2"/>
        <v>600000</v>
      </c>
      <c r="I55" s="6">
        <f t="shared" si="3"/>
        <v>600000</v>
      </c>
      <c r="J55" s="6">
        <f t="shared" si="4"/>
        <v>3445.2106779450669</v>
      </c>
      <c r="K55" s="6">
        <f t="shared" si="5"/>
        <v>41342.528135340806</v>
      </c>
      <c r="L55" s="17">
        <v>15723</v>
      </c>
      <c r="M55" s="47">
        <f t="shared" si="6"/>
        <v>15990.290999999999</v>
      </c>
    </row>
    <row r="56" spans="2:13" ht="15.75" customHeight="1">
      <c r="B56" s="2" t="s">
        <v>113</v>
      </c>
      <c r="C56" s="16">
        <v>658000</v>
      </c>
      <c r="D56" s="6">
        <v>728000</v>
      </c>
      <c r="E56" s="6">
        <v>744000</v>
      </c>
      <c r="F56" s="6">
        <v>700000</v>
      </c>
      <c r="H56" s="6">
        <f t="shared" si="2"/>
        <v>750000</v>
      </c>
      <c r="I56" s="6">
        <f t="shared" si="3"/>
        <v>750000</v>
      </c>
      <c r="J56" s="6">
        <f t="shared" si="4"/>
        <v>4059.4543559697636</v>
      </c>
      <c r="K56" s="6">
        <f t="shared" si="5"/>
        <v>48713.452271637165</v>
      </c>
      <c r="L56" s="17">
        <v>15723</v>
      </c>
      <c r="M56" s="47">
        <f t="shared" si="6"/>
        <v>15990.290999999999</v>
      </c>
    </row>
    <row r="57" spans="2:13" ht="15.75" customHeight="1">
      <c r="B57" s="2" t="s">
        <v>116</v>
      </c>
      <c r="C57" s="16">
        <v>688000</v>
      </c>
      <c r="D57" s="6">
        <v>796000</v>
      </c>
      <c r="E57" s="6">
        <v>739000</v>
      </c>
      <c r="F57" s="6">
        <v>750000</v>
      </c>
      <c r="H57" s="6">
        <f t="shared" si="2"/>
        <v>800000</v>
      </c>
      <c r="I57" s="6">
        <f t="shared" si="3"/>
        <v>800000</v>
      </c>
      <c r="J57" s="6">
        <f t="shared" si="4"/>
        <v>4208.0616974273526</v>
      </c>
      <c r="K57" s="6">
        <f t="shared" si="5"/>
        <v>50496.740369128231</v>
      </c>
      <c r="L57" s="17">
        <v>15723</v>
      </c>
      <c r="M57" s="47">
        <f t="shared" si="6"/>
        <v>15990.290999999999</v>
      </c>
    </row>
    <row r="58" spans="2:13" ht="15.75" customHeight="1">
      <c r="B58" s="2" t="s">
        <v>111</v>
      </c>
      <c r="C58" s="16">
        <v>631000</v>
      </c>
      <c r="D58" s="6">
        <v>630000</v>
      </c>
      <c r="E58" s="6">
        <v>733490</v>
      </c>
      <c r="F58" s="6">
        <v>600000</v>
      </c>
      <c r="H58" s="6">
        <f t="shared" si="2"/>
        <v>650000</v>
      </c>
      <c r="I58" s="6">
        <f t="shared" si="3"/>
        <v>650000</v>
      </c>
      <c r="J58" s="6">
        <f t="shared" si="4"/>
        <v>3925.7077486579346</v>
      </c>
      <c r="K58" s="6">
        <f t="shared" si="5"/>
        <v>47108.492983895216</v>
      </c>
      <c r="L58" s="17">
        <v>15723</v>
      </c>
      <c r="M58" s="47">
        <f t="shared" si="6"/>
        <v>15990.290999999999</v>
      </c>
    </row>
    <row r="59" spans="2:13" ht="15.75" customHeight="1">
      <c r="B59" s="2" t="s">
        <v>114</v>
      </c>
      <c r="C59" s="16">
        <v>732000</v>
      </c>
      <c r="D59" s="6">
        <v>758000</v>
      </c>
      <c r="E59" s="6">
        <v>766000</v>
      </c>
      <c r="F59" s="6">
        <v>550000</v>
      </c>
      <c r="H59" s="6">
        <f t="shared" si="2"/>
        <v>775000</v>
      </c>
      <c r="I59" s="6">
        <f t="shared" si="3"/>
        <v>775000</v>
      </c>
      <c r="J59" s="6">
        <f t="shared" si="4"/>
        <v>4426.0191315651482</v>
      </c>
      <c r="K59" s="6">
        <f t="shared" si="5"/>
        <v>53112.229578781778</v>
      </c>
      <c r="L59" s="17">
        <v>16642</v>
      </c>
      <c r="M59" s="47">
        <f t="shared" si="6"/>
        <v>16924.913999999997</v>
      </c>
    </row>
    <row r="60" spans="2:13" ht="15.75" customHeight="1">
      <c r="B60" s="2" t="s">
        <v>118</v>
      </c>
      <c r="C60" s="16">
        <v>670000</v>
      </c>
      <c r="D60" s="6">
        <v>814000</v>
      </c>
      <c r="E60" s="6">
        <v>757000</v>
      </c>
      <c r="F60" s="6">
        <v>700000</v>
      </c>
      <c r="H60" s="6">
        <f t="shared" si="2"/>
        <v>825000</v>
      </c>
      <c r="I60" s="6">
        <f t="shared" si="3"/>
        <v>825000</v>
      </c>
      <c r="J60" s="6">
        <f t="shared" si="4"/>
        <v>4118.8972925527996</v>
      </c>
      <c r="K60" s="6">
        <f t="shared" si="5"/>
        <v>49426.767510633596</v>
      </c>
      <c r="L60" s="17">
        <v>17561</v>
      </c>
      <c r="M60" s="47">
        <f t="shared" si="6"/>
        <v>17859.536999999997</v>
      </c>
    </row>
    <row r="61" spans="2:13" ht="15.75" customHeight="1">
      <c r="B61" s="2" t="s">
        <v>106</v>
      </c>
      <c r="C61" s="16">
        <v>684000</v>
      </c>
      <c r="D61" s="6">
        <v>675000</v>
      </c>
      <c r="E61" s="6">
        <v>753736</v>
      </c>
      <c r="F61" s="6">
        <v>600000</v>
      </c>
      <c r="H61" s="6">
        <f t="shared" si="2"/>
        <v>675000</v>
      </c>
      <c r="I61" s="6">
        <f t="shared" si="3"/>
        <v>675000</v>
      </c>
      <c r="J61" s="6">
        <f t="shared" si="4"/>
        <v>4188.2473852330068</v>
      </c>
      <c r="K61" s="6">
        <f t="shared" si="5"/>
        <v>50258.968622796077</v>
      </c>
      <c r="L61" s="17">
        <v>16642</v>
      </c>
      <c r="M61" s="47">
        <f t="shared" si="6"/>
        <v>16924.913999999997</v>
      </c>
    </row>
    <row r="62" spans="2:13" ht="15.75" customHeight="1">
      <c r="B62" s="2" t="s">
        <v>115</v>
      </c>
      <c r="C62" s="16">
        <v>743000</v>
      </c>
      <c r="D62" s="6">
        <v>753000</v>
      </c>
      <c r="E62" s="6">
        <v>780193</v>
      </c>
      <c r="F62" s="6">
        <v>700000</v>
      </c>
      <c r="H62" s="6">
        <f t="shared" si="2"/>
        <v>775000</v>
      </c>
      <c r="I62" s="6">
        <f t="shared" si="3"/>
        <v>775000</v>
      </c>
      <c r="J62" s="6">
        <f t="shared" si="4"/>
        <v>4480.5084900995962</v>
      </c>
      <c r="K62" s="6">
        <f t="shared" si="5"/>
        <v>53766.101881195151</v>
      </c>
      <c r="L62" s="17">
        <v>17561</v>
      </c>
      <c r="M62" s="47">
        <f t="shared" si="6"/>
        <v>17859.536999999997</v>
      </c>
    </row>
    <row r="63" spans="2:13" ht="15.75" customHeight="1">
      <c r="B63" s="2" t="s">
        <v>120</v>
      </c>
      <c r="C63" s="16">
        <v>746000</v>
      </c>
      <c r="D63" s="6">
        <v>850000</v>
      </c>
      <c r="E63" s="6">
        <v>855000</v>
      </c>
      <c r="F63" s="6">
        <v>800000</v>
      </c>
      <c r="H63" s="6">
        <f t="shared" si="2"/>
        <v>850000</v>
      </c>
      <c r="I63" s="6">
        <f t="shared" si="3"/>
        <v>850000</v>
      </c>
      <c r="J63" s="6">
        <f t="shared" si="4"/>
        <v>4495.3692242453553</v>
      </c>
      <c r="K63" s="6">
        <f t="shared" si="5"/>
        <v>53944.430690944268</v>
      </c>
      <c r="L63" s="17">
        <v>20318</v>
      </c>
      <c r="M63" s="47">
        <f t="shared" si="6"/>
        <v>20663.405999999999</v>
      </c>
    </row>
    <row r="64" spans="2:13" ht="15.75" customHeight="1">
      <c r="B64" s="2" t="s">
        <v>119</v>
      </c>
      <c r="C64" s="16">
        <v>781000</v>
      </c>
      <c r="D64" s="6">
        <v>823000</v>
      </c>
      <c r="E64" s="6">
        <v>854000</v>
      </c>
      <c r="F64" s="6">
        <v>750000</v>
      </c>
      <c r="H64" s="6">
        <f t="shared" si="2"/>
        <v>825000</v>
      </c>
      <c r="I64" s="6">
        <f t="shared" si="3"/>
        <v>825000</v>
      </c>
      <c r="J64" s="6">
        <f t="shared" si="4"/>
        <v>4668.7444559458745</v>
      </c>
      <c r="K64" s="6">
        <f t="shared" si="5"/>
        <v>56024.933471350494</v>
      </c>
      <c r="L64" s="17">
        <v>20318</v>
      </c>
      <c r="M64" s="47">
        <f t="shared" si="6"/>
        <v>20663.405999999999</v>
      </c>
    </row>
    <row r="65" spans="2:13" ht="15.75" customHeight="1">
      <c r="B65" s="2" t="s">
        <v>122</v>
      </c>
      <c r="C65" s="16">
        <v>840000</v>
      </c>
      <c r="D65" s="6">
        <v>828000</v>
      </c>
      <c r="E65" s="6">
        <v>904000</v>
      </c>
      <c r="F65" s="6">
        <v>800000</v>
      </c>
      <c r="H65" s="6">
        <f t="shared" si="2"/>
        <v>850000</v>
      </c>
      <c r="I65" s="6">
        <f t="shared" si="3"/>
        <v>850000</v>
      </c>
      <c r="J65" s="6">
        <f t="shared" si="4"/>
        <v>4961.0055608124649</v>
      </c>
      <c r="K65" s="6">
        <f t="shared" si="5"/>
        <v>59532.066729749582</v>
      </c>
      <c r="L65" s="17">
        <v>22156</v>
      </c>
      <c r="M65" s="47">
        <f t="shared" si="6"/>
        <v>22532.651999999998</v>
      </c>
    </row>
    <row r="66" spans="2:13" ht="15.75" customHeight="1">
      <c r="B66" s="2" t="s">
        <v>121</v>
      </c>
      <c r="C66" s="16">
        <v>856000</v>
      </c>
      <c r="D66" s="6">
        <v>837000</v>
      </c>
      <c r="E66" s="6">
        <v>944000</v>
      </c>
      <c r="F66" s="6">
        <v>800000</v>
      </c>
      <c r="H66" s="6">
        <f t="shared" si="2"/>
        <v>850000</v>
      </c>
      <c r="I66" s="6">
        <f t="shared" si="3"/>
        <v>850000</v>
      </c>
      <c r="J66" s="6">
        <f t="shared" si="4"/>
        <v>5040.2628095898444</v>
      </c>
      <c r="K66" s="6">
        <f t="shared" si="5"/>
        <v>60483.153715078137</v>
      </c>
      <c r="L66" s="17">
        <v>23075</v>
      </c>
      <c r="M66" s="47">
        <f t="shared" si="6"/>
        <v>23467.274999999998</v>
      </c>
    </row>
    <row r="67" spans="2:13" ht="15.75" customHeight="1">
      <c r="B67" s="2" t="s">
        <v>124</v>
      </c>
      <c r="C67" s="16">
        <v>875000</v>
      </c>
      <c r="D67" s="6">
        <v>919000</v>
      </c>
      <c r="E67" s="6">
        <v>999000</v>
      </c>
      <c r="F67" s="6">
        <v>900000</v>
      </c>
      <c r="H67" s="6">
        <f t="shared" si="2"/>
        <v>925000</v>
      </c>
      <c r="I67" s="6">
        <f t="shared" si="3"/>
        <v>925000</v>
      </c>
      <c r="J67" s="6">
        <f t="shared" si="4"/>
        <v>5134.380792512984</v>
      </c>
      <c r="K67" s="6">
        <f t="shared" si="5"/>
        <v>61612.569510155809</v>
      </c>
      <c r="L67" s="17">
        <v>24912</v>
      </c>
      <c r="M67" s="47">
        <f t="shared" si="6"/>
        <v>25335.503999999997</v>
      </c>
    </row>
    <row r="68" spans="2:13" ht="15.75" customHeight="1">
      <c r="B68" s="2" t="s">
        <v>123</v>
      </c>
      <c r="C68" s="16">
        <v>1050000</v>
      </c>
      <c r="D68" s="6">
        <v>1030000</v>
      </c>
      <c r="E68" s="6">
        <v>1069000</v>
      </c>
      <c r="F68" s="6">
        <v>1000000</v>
      </c>
      <c r="H68" s="6">
        <f t="shared" si="2"/>
        <v>1050000</v>
      </c>
      <c r="I68" s="6">
        <f t="shared" si="3"/>
        <v>1050000</v>
      </c>
      <c r="J68" s="6">
        <f t="shared" si="4"/>
        <v>6001.2569510155809</v>
      </c>
      <c r="K68" s="6">
        <f t="shared" si="5"/>
        <v>72015.08341218697</v>
      </c>
      <c r="L68" s="17">
        <v>27771</v>
      </c>
      <c r="M68" s="47">
        <f t="shared" si="6"/>
        <v>28243.106999999996</v>
      </c>
    </row>
    <row r="69" spans="2:13" ht="15.75" customHeight="1">
      <c r="B69" s="2" t="s">
        <v>125</v>
      </c>
      <c r="C69" s="16">
        <v>927000</v>
      </c>
      <c r="D69" s="6">
        <v>983000</v>
      </c>
      <c r="E69" s="6">
        <v>1122000</v>
      </c>
      <c r="F69" s="6">
        <v>900000</v>
      </c>
      <c r="H69" s="6">
        <f t="shared" si="2"/>
        <v>1000000</v>
      </c>
      <c r="I69" s="6">
        <f t="shared" si="3"/>
        <v>1000000</v>
      </c>
      <c r="J69" s="6">
        <f t="shared" si="4"/>
        <v>5391.9668510394695</v>
      </c>
      <c r="K69" s="6">
        <f t="shared" si="5"/>
        <v>64703.602212473634</v>
      </c>
      <c r="L69" s="17">
        <v>29609</v>
      </c>
      <c r="M69" s="47">
        <f t="shared" si="6"/>
        <v>30112.352999999996</v>
      </c>
    </row>
    <row r="70" spans="2:13" ht="15.75" customHeight="1">
      <c r="B70" s="2" t="s">
        <v>126</v>
      </c>
      <c r="C70" s="16">
        <v>958000</v>
      </c>
      <c r="D70" s="6">
        <v>1070000</v>
      </c>
      <c r="E70" s="6">
        <v>1110000</v>
      </c>
      <c r="F70" s="6">
        <v>1000000</v>
      </c>
      <c r="H70" s="6">
        <f t="shared" si="2"/>
        <v>1075000</v>
      </c>
      <c r="I70" s="6">
        <f t="shared" si="3"/>
        <v>1075000</v>
      </c>
      <c r="J70" s="6">
        <f t="shared" si="4"/>
        <v>5545.5277705456438</v>
      </c>
      <c r="K70" s="6">
        <f t="shared" si="5"/>
        <v>66546.333246547729</v>
      </c>
      <c r="L70" s="17">
        <v>29609</v>
      </c>
      <c r="M70" s="47">
        <f t="shared" si="6"/>
        <v>30112.352999999996</v>
      </c>
    </row>
    <row r="71" spans="2:13" ht="15.75" customHeight="1">
      <c r="B71" s="2" t="s">
        <v>127</v>
      </c>
      <c r="C71" s="16">
        <v>1077000</v>
      </c>
      <c r="D71" s="6">
        <v>1080000</v>
      </c>
      <c r="E71" s="6">
        <v>1205000</v>
      </c>
      <c r="F71" s="6">
        <v>0</v>
      </c>
      <c r="H71" s="6">
        <f t="shared" si="2"/>
        <v>1100000</v>
      </c>
      <c r="I71" s="6">
        <f t="shared" si="3"/>
        <v>1100000</v>
      </c>
      <c r="J71" s="6">
        <f t="shared" si="4"/>
        <v>6135.0035583274093</v>
      </c>
      <c r="K71" s="6">
        <f t="shared" si="5"/>
        <v>73620.042699928919</v>
      </c>
      <c r="L71" s="17">
        <v>33285</v>
      </c>
      <c r="M71" s="47">
        <f t="shared" si="6"/>
        <v>33850.844999999994</v>
      </c>
    </row>
    <row r="72" spans="2:13" ht="15.75" customHeight="1">
      <c r="K72" s="7"/>
    </row>
    <row r="73" spans="2:13" ht="15.75" customHeight="1">
      <c r="B73" s="11" t="s">
        <v>280</v>
      </c>
      <c r="C73" s="48">
        <f>MEDIAN(D43:D71)</f>
        <v>728000</v>
      </c>
      <c r="D73" s="48">
        <f>MEDIAN(E43:E71)</f>
        <v>739000</v>
      </c>
      <c r="E73" s="48">
        <f>MEDIAN(F43:F71)</f>
        <v>600000</v>
      </c>
      <c r="F73" s="48"/>
      <c r="K73" s="7"/>
    </row>
    <row r="74" spans="2:13" ht="15.75" customHeight="1">
      <c r="L74" s="7"/>
    </row>
    <row r="75" spans="2:13" ht="15.75" customHeight="1">
      <c r="L75" s="7"/>
    </row>
    <row r="76" spans="2:13" ht="15.75" customHeight="1">
      <c r="B76" s="3" t="s">
        <v>281</v>
      </c>
      <c r="C76" s="2"/>
      <c r="D76" s="2"/>
      <c r="E76" s="2"/>
      <c r="F76" s="2"/>
      <c r="G76" s="2"/>
      <c r="L76" s="7"/>
    </row>
    <row r="77" spans="2:13" ht="46.5" customHeight="1">
      <c r="B77" s="213" t="s">
        <v>282</v>
      </c>
      <c r="C77" s="197"/>
      <c r="D77" s="197"/>
      <c r="E77" s="197"/>
      <c r="F77" s="197"/>
      <c r="G77" s="197"/>
      <c r="L77" s="7"/>
    </row>
    <row r="78" spans="2:13" ht="15.75" customHeight="1">
      <c r="B78" s="2" t="s">
        <v>283</v>
      </c>
      <c r="C78" s="2"/>
      <c r="D78" s="2"/>
      <c r="E78" s="2"/>
      <c r="F78" s="2"/>
      <c r="G78" s="2"/>
      <c r="L78" s="7"/>
    </row>
    <row r="79" spans="2:13" ht="15.75" customHeight="1">
      <c r="B79" s="2" t="s">
        <v>284</v>
      </c>
      <c r="C79" s="2"/>
      <c r="D79" s="2"/>
      <c r="E79" s="2"/>
      <c r="F79" s="2"/>
      <c r="G79" s="2"/>
      <c r="L79" s="7"/>
    </row>
  </sheetData>
  <mergeCells count="4">
    <mergeCell ref="B41:E41"/>
    <mergeCell ref="H41:I41"/>
    <mergeCell ref="J41:K41"/>
    <mergeCell ref="B77:G77"/>
  </mergeCells>
  <dataValidations count="1">
    <dataValidation type="list" allowBlank="1" showErrorMessage="1" sqref="B3:C3" xr:uid="{00000000-0002-0000-0400-000001000000}">
      <formula1>"Lead Pastor,Senior Associate,Middle Associate,Junior Associate,Pre Associate"</formula1>
    </dataValidation>
  </dataValidations>
  <hyperlinks>
    <hyperlink ref="B41" r:id="rId1" xr:uid="{00000000-0004-0000-0100-000001000000}"/>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Variables!$D$10:$D$15</xm:f>
          </x14:formula1>
          <xm:sqref>C7</xm:sqref>
        </x14:dataValidation>
        <x14:dataValidation type="list" allowBlank="1" showErrorMessage="1" xr:uid="{00000000-0002-0000-0400-000002000000}">
          <x14:formula1>
            <xm:f>Variables!$D$19:$D$22</xm:f>
          </x14:formula1>
          <xm:sqref>C6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beafc7-04f9-4afa-975b-2fe95de9f889">
      <Terms xmlns="http://schemas.microsoft.com/office/infopath/2007/PartnerControls"/>
    </lcf76f155ced4ddcb4097134ff3c332f>
    <TaxCatchAll xmlns="d4f7233d-c6cc-4143-871d-35c4175ee7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C A E A A B Q S w M E F A A C A A g A 1 E V q W 6 l i I Y C j A A A A 9 g A A A B I A H A B D b 2 5 m a W c v U G F j a 2 F n Z S 5 4 b W w g o h g A K K A U A A A A A A A A A A A A A A A A A A A A A A A A A A A A h Y 9 B D o I w F E S v Q r q n L e i C k E + J Y S u J i Y l x 2 5 S K j f A x t F j u 5 s I j e Q U x i r p z O W / e Y u Z + v U E + t k 1 w 0 b 0 1 H W Y k o p w E G l V X G a w z M r h D m J B c w E a q k 6 x 1 M M l o 0 9 F W G T k 6 d 0 4 Z 8 9 5 T v 6 B d X 7 O Y 8 4 j t y / V W H X U r y U c 2 / + X Q o H U S l S Y C d q 8 x I q b R M q E x n z Y B m y G U B r 9 C P H X P 9 g d C M T R u 6 L X Q G B Y r Y H M E 9 v 4 g H l B L A w Q U A A I A C A D U R W p 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E V q W 1 w c 7 J w b A Q A A X Q I A A B M A H A B G b 3 J t d W x h c y 9 T Z W N 0 a W 9 u M S 5 t I K I Y A C i g F A A A A A A A A A A A A A A A A A A A A A A A A A A A A I W Q Q W u D M B T H 7 4 L f 4 Z F e 7 H C 6 W k 8 t H a z S s c N O K u w w d k j t W x V i U p L X 2 V H 6 3 R d r Y V i 6 G U g e / P P L e + F n s K B K S c i 6 O p m 7 j u u Y k m v c w I h F D 1 E M K S c 0 D B Y g k F w H 7 M r U X h d o k z d c B 0 u t G o M 6 U Z J Q k v F Y S b Q z s z B s m i a w I d e V E t V X J b c N 3 2 J Q 8 F C f G 4 7 9 r t m I r Q 6 k e U F 2 Y s 7 X A u F Z q x p e q B b t 0 L Y G 5 9 z r x v p w P L J E i X 0 t J 8 w H l j 8 t X 1 f w C H d 2 5 6 k 9 Z p L K + 6 K s x M a b j N n J 8 h c 8 G s K j H j 4 d w q c 9 P B 7 C Y 4 t b / j 1 V T Y b C + l Z 6 c f W A f f x a S U o u t 6 2 T 7 x 2 2 I s 4 O g l x z a T 6 V r r u h 7 a X x / l P o 9 2 y R 5 Y H w Q F d a b u X T P / K 4 l 5 / G r l P J m 5 + e / w B Q S w E C L Q A U A A I A C A D U R W p b q W I h g K M A A A D 2 A A A A E g A A A A A A A A A A A A A A A A A A A A A A Q 2 9 u Z m l n L 1 B h Y 2 t h Z 2 U u e G 1 s U E s B A i 0 A F A A C A A g A 1 E V q W w / K 6 a u k A A A A 6 Q A A A B M A A A A A A A A A A A A A A A A A 7 w A A A F t D b 2 5 0 Z W 5 0 X 1 R 5 c G V z X S 5 4 b W x Q S w E C L Q A U A A I A C A D U R W p b X B z s n B s B A A B d A g A A E w A A A A A A A A A A A A A A A A D g A Q A A R m 9 y b X V s Y X M v U 2 V j d G l v b j E u b V B L B Q Y A A A A A A w A D A M I A A A B I 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M C g A A A A A A A G o 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y M D I 0 J T I w U m F 0 Z X M 8 L 0 l 0 Z W 1 Q Y X R o P j w v S X R l b U x v Y 2 F 0 a W 9 u P j x T d G F i b G V F b n R y a W V z P j x F b n R y e S B U e X B l P S J R d W V y e U l E I i B W Y W x 1 Z T 0 i c 2 M 0 Z T E y M D h k L W V i Z G Y t N D I w M i 1 h Y j Q 0 L T k w M j A 5 Z T U 4 N m R h N i I g L z 4 8 R W 5 0 c n k g V H l w Z T 0 i R m l s b E V y c m 9 y Q 2 9 1 b n Q i I F Z h b H V l P S J s M C I g L z 4 8 R W 5 0 c n k g V H l w Z T 0 i R m l s b E V y c m 9 y Q 2 9 k Z S I g V m F s d W U 9 I n N V b m t u b 3 d u I i A v P j x F b n R y e S B U e X B l P S J J c 1 B y a X Z h d G U i I F Z h b H V l P S J s M C I g L z 4 8 R W 5 0 c n k g V H l w Z T 0 i T m F t Z V V w Z G F 0 Z W R B Z n R l c k Z p b G w i I F Z h b H V l P S J s M C I g L z 4 8 R W 5 0 c n k g V H l w Z T 0 i U m V z d W x 0 V H l w Z S I g V m F s d W U 9 I n N U Y W J s Z S I g L z 4 8 R W 5 0 c n k g V H l w Z T 0 i Q n V m Z m V y T m V 4 d F J l Z n J l c 2 g i I F Z h b H V l P S J s M S I g L z 4 8 R W 5 0 c n k g V H l w Z T 0 i R m l s b E N v d W 5 0 I i B W Y W x 1 Z T 0 i b D E x I i A v P j x F b n R y e S B U e X B l P S J G a W x s Z W R D b 2 1 w b G V 0 Z V J l c 3 V s d F R v V 2 9 y a 3 N o Z W V 0 I i B W Y W x 1 Z T 0 i b D E i I C 8 + P E V u d H J 5 I F R 5 c G U 9 I k F k Z G V k V G 9 E Y X R h T W 9 k Z W w i I F Z h b H V l P S J s M C I g L z 4 8 R W 5 0 c n k g V H l w Z T 0 i R m l s b F R v R G F 0 Y U 1 v Z G V s R W 5 h Y m x l Z C I g V m F s d W U 9 I m w w I i A v P j x F b n R y e S B U e X B l P S J G a W x s T 2 J q Z W N 0 V H l w Z S I g V m F s d W U 9 I n N D b 2 5 u Z W N 0 a W 9 u T 2 5 s e S I g L z 4 8 R W 5 0 c n k g V H l w Z T 0 i R m l s b E V u Y W J s Z W Q i I F Z h b H V l P S J s M C I g L z 4 8 R W 5 0 c n k g V H l w Z T 0 i R m l s b E x h c 3 R V c G R h d G V k I i B W Y W x 1 Z T 0 i Z D I w M j U t M D k t M D h U M j A 6 M T c 6 M z I u M z Y y O T U y M 1 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M j A y N C B S Y X R l c y 9 B d X R v U m V t b 3 Z l Z E N v b H V t b n M x L n t D b 2 x 1 b W 4 x L D B 9 J n F 1 b 3 Q 7 L C Z x d W 9 0 O 1 N l Y 3 R p b 2 4 x L z I w M j Q g U m F 0 Z X M v Q X V 0 b 1 J l b W 9 2 Z W R D b 2 x 1 b W 5 z M S 5 7 Q 2 9 s d W 1 u M i w x f S Z x d W 9 0 O y w m c X V v d D t T Z W N 0 a W 9 u M S 8 y M D I 0 I F J h d G V z L 0 F 1 d G 9 S Z W 1 v d m V k Q 2 9 s d W 1 u c z E u e 0 N v b H V t b j M s M n 0 m c X V v d D s s J n F 1 b 3 Q 7 U 2 V j d G l v b j E v M j A y N C B S Y X R l c y 9 B d X R v U m V t b 3 Z l Z E N v b H V t b n M x L n t D b 2 x 1 b W 4 0 L D N 9 J n F 1 b 3 Q 7 X S w m c X V v d D t D b 2 x 1 b W 5 D b 3 V u d C Z x d W 9 0 O z o 0 L C Z x d W 9 0 O 0 t l e U N v b H V t b k 5 h b W V z J n F 1 b 3 Q 7 O l t d L C Z x d W 9 0 O 0 N v b H V t b k l k Z W 5 0 a X R p Z X M m c X V v d D s 6 W y Z x d W 9 0 O 1 N l Y 3 R p b 2 4 x L z I w M j Q g U m F 0 Z X M v Q X V 0 b 1 J l b W 9 2 Z W R D b 2 x 1 b W 5 z M S 5 7 Q 2 9 s d W 1 u M S w w f S Z x d W 9 0 O y w m c X V v d D t T Z W N 0 a W 9 u M S 8 y M D I 0 I F J h d G V z L 0 F 1 d G 9 S Z W 1 v d m V k Q 2 9 s d W 1 u c z E u e 0 N v b H V t b j I s M X 0 m c X V v d D s s J n F 1 b 3 Q 7 U 2 V j d G l v b j E v M j A y N C B S Y X R l c y 9 B d X R v U m V t b 3 Z l Z E N v b H V t b n M x L n t D b 2 x 1 b W 4 z L D J 9 J n F 1 b 3 Q 7 L C Z x d W 9 0 O 1 N l Y 3 R p b 2 4 x L z I w M j Q g U m F 0 Z X M v Q X V 0 b 1 J l b W 9 2 Z W R D b 2 x 1 b W 5 z M S 5 7 Q 2 9 s d W 1 u N C w z f S Z x d W 9 0 O 1 0 s J n F 1 b 3 Q 7 U m V s Y X R p b 2 5 z a G l w S W 5 m b y Z x d W 9 0 O z p b X X 0 i I C 8 + P C 9 T d G F i b G V F b n R y a W V z P j w v S X R l b T 4 8 S X R l b T 4 8 S X R l b U x v Y 2 F 0 a W 9 u P j x J d G V t V H l w Z T 5 G b 3 J t d W x h P C 9 J d G V t V H l w Z T 4 8 S X R l b V B h d G g + U 2 V j d G l v b j E v M j A y N C U y M F J h d G V z L 1 N v d X J j Z T w v S X R l b V B h d G g + P C 9 J d G V t T G 9 j Y X R p b 2 4 + P F N 0 Y W J s Z U V u d H J p Z X M g L z 4 8 L 0 l 0 Z W 0 + P E l 0 Z W 0 + P E l 0 Z W 1 M b 2 N h d G l v b j 4 8 S X R l b V R 5 c G U + R m 9 y b X V s Y T w v S X R l b V R 5 c G U + P E l 0 Z W 1 Q Y X R o P l N l Y 3 R p b 2 4 x L z I w M j Q l M j B S Y X R l c y 9 F e H R y Y W N 0 Z W Q l M j B U Y W J s Z S U y M E Z y b 2 0 l M j B I d G 1 s P C 9 J d G V t U G F 0 a D 4 8 L 0 l 0 Z W 1 M b 2 N h d G l v b j 4 8 U 3 R h Y m x l R W 5 0 c m l l c y A v P j w v S X R l b T 4 8 S X R l b T 4 8 S X R l b U x v Y 2 F 0 a W 9 u P j x J d G V t V H l w Z T 5 G b 3 J t d W x h P C 9 J d G V t V H l w Z T 4 8 S X R l b V B h d G g + U 2 V j d G l v b j E v M j A y N C U y M F J h d G V z L 0 N o Y W 5 n Z W Q l M j B U e X B l P C 9 J d G V t U G F 0 a D 4 8 L 0 l 0 Z W 1 M b 2 N h d G l v b j 4 8 U 3 R h Y m x l R W 5 0 c m l l c y A v P j w v S X R l b T 4 8 L 0 l 0 Z W 1 z P j w v T G 9 j Y W x Q Y W N r Y W d l T W V 0 Y W R h d G F G a W x l P h Y A A A B Q S w U G A A A A A A A A A A A A A A A A A A A A A A A A J g E A A A E A A A D Q j J 3 f A R X R E Y x 6 A M B P w p f r A Q A A A N + 1 f P P B t y 5 I o H q F T t W P H Z c A A A A A A g A A A A A A E G Y A A A A B A A A g A A A A I v O O s S v x W 5 K 4 b Y 0 c 8 e K 7 L k P / X N R e I C b o L 4 h a l K f z U c c A A A A A D o A A A A A C A A A g A A A A r 5 O t H d F R o M 3 e H n 4 f W 5 E P T w Y E I S w 4 9 G n j Y O A 6 c r Y B y G l Q A A A A Z Y l N O M Q P o o z r o 3 L 7 l W n 5 D a Z U 8 q S n T z t q 6 d 0 + 1 h C 7 i a R Y k P f C J u m U z s d t h 6 M M l v w u e E v O e 0 5 N r b 9 G S G 6 i m c X 6 b / O K X e V o U x r 4 B C A m v k O T r a 5 A A A A A 8 X 8 l M + H 0 F K i G f u H t t C b j c T 8 N 1 f r P Z s 2 9 f s g s y u f T x s r c d w y h G C 3 b P P V w 8 P t w T 3 H O r f M u i T 1 3 B g u A o 9 m a c V t c W 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5D179AA3CB07A45BA0222508AC40F1A" ma:contentTypeVersion="15" ma:contentTypeDescription="Create a new document." ma:contentTypeScope="" ma:versionID="baa5c549b57c42c235f220e2bc25000d">
  <xsd:schema xmlns:xsd="http://www.w3.org/2001/XMLSchema" xmlns:xs="http://www.w3.org/2001/XMLSchema" xmlns:p="http://schemas.microsoft.com/office/2006/metadata/properties" xmlns:ns2="87beafc7-04f9-4afa-975b-2fe95de9f889" xmlns:ns3="d4f7233d-c6cc-4143-871d-35c4175ee776" targetNamespace="http://schemas.microsoft.com/office/2006/metadata/properties" ma:root="true" ma:fieldsID="90cfe811dc8c8af49b2dc30368fba0e6" ns2:_="" ns3:_="">
    <xsd:import namespace="87beafc7-04f9-4afa-975b-2fe95de9f889"/>
    <xsd:import namespace="d4f7233d-c6cc-4143-871d-35c4175ee7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eafc7-04f9-4afa-975b-2fe95de9f8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7c7c17f-9684-49a8-baaa-e96ac37fa44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f7233d-c6cc-4143-871d-35c4175ee7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f9ef14-c1a0-4a0a-bb2e-d4c97bcb7c2a}" ma:internalName="TaxCatchAll" ma:showField="CatchAllData" ma:web="d4f7233d-c6cc-4143-871d-35c4175ee77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F0E36-E5EB-49C6-8A36-F355F29A9B64}">
  <ds:schemaRefs>
    <ds:schemaRef ds:uri="http://schemas.microsoft.com/office/2006/metadata/properties"/>
    <ds:schemaRef ds:uri="http://schemas.microsoft.com/office/infopath/2007/PartnerControls"/>
    <ds:schemaRef ds:uri="87beafc7-04f9-4afa-975b-2fe95de9f889"/>
    <ds:schemaRef ds:uri="d4f7233d-c6cc-4143-871d-35c4175ee776"/>
  </ds:schemaRefs>
</ds:datastoreItem>
</file>

<file path=customXml/itemProps2.xml><?xml version="1.0" encoding="utf-8"?>
<ds:datastoreItem xmlns:ds="http://schemas.openxmlformats.org/officeDocument/2006/customXml" ds:itemID="{68EE651A-E1B3-4593-A1FD-B3AF67087D06}">
  <ds:schemaRefs>
    <ds:schemaRef ds:uri="http://schemas.microsoft.com/sharepoint/v3/contenttype/forms"/>
  </ds:schemaRefs>
</ds:datastoreItem>
</file>

<file path=customXml/itemProps3.xml><?xml version="1.0" encoding="utf-8"?>
<ds:datastoreItem xmlns:ds="http://schemas.openxmlformats.org/officeDocument/2006/customXml" ds:itemID="{2D640B68-3BFA-45BA-A322-838A62A5CD00}">
  <ds:schemaRefs>
    <ds:schemaRef ds:uri="http://schemas.microsoft.com/DataMashup"/>
  </ds:schemaRefs>
</ds:datastoreItem>
</file>

<file path=customXml/itemProps4.xml><?xml version="1.0" encoding="utf-8"?>
<ds:datastoreItem xmlns:ds="http://schemas.openxmlformats.org/officeDocument/2006/customXml" ds:itemID="{8224F2F6-3FA2-40D6-A714-CACDE844B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eafc7-04f9-4afa-975b-2fe95de9f889"/>
    <ds:schemaRef ds:uri="d4f7233d-c6cc-4143-871d-35c4175e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1 Salary Summary</vt:lpstr>
      <vt:lpstr>2 Housing Adjustment</vt:lpstr>
      <vt:lpstr>3 Track Record, Exp, Edn, Size</vt:lpstr>
      <vt:lpstr>Notes 2026</vt:lpstr>
      <vt:lpstr>Living Wage</vt:lpstr>
      <vt:lpstr>Variables</vt:lpstr>
      <vt:lpstr>Testing</vt:lpstr>
      <vt:lpstr>Amort</vt:lpstr>
      <vt:lpstr>Base</vt:lpstr>
      <vt:lpstr>COLA</vt:lpstr>
      <vt:lpstr>Education</vt:lpstr>
      <vt:lpstr>Experience</vt:lpstr>
      <vt:lpstr>Housingadj</vt:lpstr>
      <vt:lpstr>HousingAdjustment</vt:lpstr>
      <vt:lpstr>Interest</vt:lpstr>
      <vt:lpstr>Principle</vt:lpstr>
      <vt:lpstr>Salcomponents</vt:lpstr>
      <vt:lpstr>Size</vt:lpstr>
      <vt:lpstr>Tax</vt:lpstr>
      <vt:lpstr>TrackRec</vt:lpstr>
      <vt:lpstr>Util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Timothy Strickland</dc:creator>
  <cp:keywords/>
  <dc:description/>
  <cp:lastModifiedBy>Randy Roebuck</cp:lastModifiedBy>
  <cp:revision/>
  <dcterms:created xsi:type="dcterms:W3CDTF">2019-04-17T22:41:52Z</dcterms:created>
  <dcterms:modified xsi:type="dcterms:W3CDTF">2025-11-10T13:52:35Z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0x01010065D179AA3CB07A45BA0222508AC40F1A</vt:lpwstr>
  </property>
  <property fmtid="{D5CDD505-2E9C-101B-9397-08002B2CF9AE}" pid="3" name="MediaServiceImageTags">
    <vt:lpwstr/>
  </property>
</Properties>
</file>