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timothystrickland/Documents/Tim Docs/01b LD Resources/LD Staff and Church Resources/Salary Guide/2027 Salary Guide/FINAL/"/>
    </mc:Choice>
  </mc:AlternateContent>
  <xr:revisionPtr revIDLastSave="0" documentId="8_{05DAF1DD-B795-F041-80E3-DFF66BADF6FF}" xr6:coauthVersionLast="47" xr6:coauthVersionMax="47" xr10:uidLastSave="{00000000-0000-0000-0000-000000000000}"/>
  <bookViews>
    <workbookView xWindow="0" yWindow="660" windowWidth="30240" windowHeight="17940" xr2:uid="{00000000-000D-0000-FFFF-FFFF00000000}"/>
  </bookViews>
  <sheets>
    <sheet name="Salary Summary" sheetId="1" r:id="rId1"/>
    <sheet name="2 Housing Adjustment" sheetId="2" state="hidden" r:id="rId2"/>
    <sheet name="3 Track Record, Exp, Edn, Size" sheetId="3" state="hidden" r:id="rId3"/>
    <sheet name="Examples" sheetId="13" r:id="rId4"/>
    <sheet name="Living Wage" sheetId="8" r:id="rId5"/>
    <sheet name="Clergy Residence Deduction" sheetId="11" r:id="rId6"/>
    <sheet name="Notes 2027" sheetId="6" r:id="rId7"/>
    <sheet name="Settings" sheetId="12" r:id="rId8"/>
  </sheets>
  <definedNames>
    <definedName name="Base">"Settings!$D$21"</definedName>
    <definedName name="Base_Salary_Current">Settings!$D$24</definedName>
    <definedName name="COLA">"Settings!$C$16"</definedName>
    <definedName name="COLA_Factor">Settings!$C$19</definedName>
    <definedName name="COLA_Percent">Settings!$C$18</definedName>
    <definedName name="Education">'3 Track Record, Exp, Edn, Size'!$I$27</definedName>
    <definedName name="Experience">Settings!$D$37</definedName>
    <definedName name="Experience_Rate_Current">Settings!$D$37</definedName>
    <definedName name="ExternalData_1" localSheetId="4" hidden="1">'Living Wage'!$B$6:$E$17</definedName>
    <definedName name="Google_Sheet_Link_1311684507" hidden="1">Salcomponents</definedName>
    <definedName name="Google_Sheet_Link_1497081137" hidden="1">COLA</definedName>
    <definedName name="Google_Sheet_Link_485265560" hidden="1">Base</definedName>
    <definedName name="Google_Sheet_Link_967164556" hidden="1">Housingadj</definedName>
    <definedName name="Housing_Factor_Current">Settings!#REF!</definedName>
    <definedName name="HousingAdjustment">'2 Housing Adjustment'!$E$13</definedName>
    <definedName name="Lead_1200_Premium">Settings!$C$71</definedName>
    <definedName name="Merit_Max_Current">Settings!$D$62</definedName>
    <definedName name="SalaryGuide_ChurchSizeList">Settings!$F$28:$F$33</definedName>
    <definedName name="SalaryGuide_EducationList">Settings!$F$55:$F$58</definedName>
    <definedName name="SalaryGuide_ExperienceList">Settings!$E$41:$E$51</definedName>
    <definedName name="SalaryGuide_HousingList">Settings!$B$76:$B$106</definedName>
    <definedName name="Salcomponents">#REF!</definedName>
    <definedName name="Size">'3 Track Record, Exp, Edn, Size'!$L$17</definedName>
    <definedName name="TrackRec">'3 Track Record, Exp, Edn, Size'!$C$26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6" l="1"/>
  <c r="B74" i="1"/>
  <c r="N86" i="2"/>
  <c r="N85" i="2" s="1"/>
  <c r="N84" i="2" s="1"/>
  <c r="N83" i="2" s="1"/>
  <c r="N82" i="2" s="1"/>
  <c r="N81" i="2" s="1"/>
  <c r="N80" i="2" s="1"/>
  <c r="N79" i="2" s="1"/>
  <c r="N78" i="2" s="1"/>
  <c r="N77" i="2" s="1"/>
  <c r="N76" i="2" s="1"/>
  <c r="N75" i="2" s="1"/>
  <c r="N74" i="2" s="1"/>
  <c r="N73" i="2" s="1"/>
  <c r="N72" i="2" s="1"/>
  <c r="N71" i="2" s="1"/>
  <c r="N70" i="2" s="1"/>
  <c r="N69" i="2" s="1"/>
  <c r="N68" i="2" s="1"/>
  <c r="N67" i="2" s="1"/>
  <c r="N66" i="2" s="1"/>
  <c r="N65" i="2" s="1"/>
  <c r="N64" i="2" s="1"/>
  <c r="N63" i="2" s="1"/>
  <c r="N62" i="2" s="1"/>
  <c r="N61" i="2" s="1"/>
  <c r="N60" i="2" s="1"/>
  <c r="N59" i="2" s="1"/>
  <c r="N58" i="2" s="1"/>
  <c r="C51" i="12"/>
  <c r="C50" i="12"/>
  <c r="C49" i="12"/>
  <c r="C48" i="12"/>
  <c r="C47" i="12"/>
  <c r="C46" i="12"/>
  <c r="C45" i="12"/>
  <c r="C44" i="12"/>
  <c r="C43" i="12"/>
  <c r="C42" i="12"/>
  <c r="C41" i="12"/>
  <c r="C19" i="12"/>
  <c r="D83" i="12" s="1"/>
  <c r="E83" i="12" s="1"/>
  <c r="D62" i="12" l="1"/>
  <c r="D105" i="12"/>
  <c r="E105" i="12" s="1"/>
  <c r="D98" i="12"/>
  <c r="E98" i="12" s="1"/>
  <c r="D80" i="12"/>
  <c r="E80" i="12" s="1"/>
  <c r="D99" i="12"/>
  <c r="E99" i="12" s="1"/>
  <c r="D92" i="12"/>
  <c r="D79" i="12"/>
  <c r="E79" i="12" s="1"/>
  <c r="D86" i="12"/>
  <c r="E86" i="12" s="1"/>
  <c r="D31" i="12"/>
  <c r="D32" i="12"/>
  <c r="D58" i="12"/>
  <c r="D106" i="12"/>
  <c r="E106" i="12" s="1"/>
  <c r="D82" i="12"/>
  <c r="E82" i="12" s="1"/>
  <c r="D88" i="12"/>
  <c r="E88" i="12" s="1"/>
  <c r="D94" i="12"/>
  <c r="D101" i="12"/>
  <c r="E101" i="12" s="1"/>
  <c r="D93" i="12"/>
  <c r="E93" i="12" s="1"/>
  <c r="D100" i="12"/>
  <c r="D24" i="12"/>
  <c r="D37" i="12"/>
  <c r="D81" i="12"/>
  <c r="E81" i="12" s="1"/>
  <c r="D55" i="12"/>
  <c r="E55" i="12" s="1"/>
  <c r="D102" i="12"/>
  <c r="E102" i="12" s="1"/>
  <c r="D29" i="12"/>
  <c r="D56" i="12"/>
  <c r="D77" i="12"/>
  <c r="E77" i="12" s="1"/>
  <c r="D84" i="12"/>
  <c r="E84" i="12" s="1"/>
  <c r="D90" i="12"/>
  <c r="E90" i="12" s="1"/>
  <c r="D96" i="12"/>
  <c r="D103" i="12"/>
  <c r="E103" i="12" s="1"/>
  <c r="D33" i="12"/>
  <c r="E33" i="12" s="1"/>
  <c r="D28" i="12"/>
  <c r="D89" i="12"/>
  <c r="D76" i="12"/>
  <c r="E76" i="12" s="1"/>
  <c r="D95" i="12"/>
  <c r="E95" i="12" s="1"/>
  <c r="D30" i="12"/>
  <c r="D57" i="12"/>
  <c r="F24" i="13" s="1"/>
  <c r="D78" i="12"/>
  <c r="E78" i="12" s="1"/>
  <c r="D85" i="12"/>
  <c r="D91" i="12"/>
  <c r="D97" i="12"/>
  <c r="E97" i="12" s="1"/>
  <c r="D104" i="12"/>
  <c r="E104" i="12" s="1"/>
  <c r="D87" i="12"/>
  <c r="E87" i="12" s="1"/>
  <c r="E29" i="12" l="1"/>
  <c r="F25" i="13"/>
  <c r="E92" i="12"/>
  <c r="F22" i="13"/>
  <c r="F38" i="3"/>
  <c r="F7" i="3"/>
  <c r="F35" i="3"/>
  <c r="D42" i="3"/>
  <c r="F34" i="3"/>
  <c r="D38" i="3"/>
  <c r="D34" i="3"/>
  <c r="D30" i="3"/>
  <c r="F31" i="3"/>
  <c r="F43" i="3"/>
  <c r="F30" i="3"/>
  <c r="F42" i="3"/>
  <c r="F26" i="3"/>
  <c r="F39" i="3"/>
  <c r="E89" i="12"/>
  <c r="I10" i="13"/>
  <c r="E57" i="12"/>
  <c r="I35" i="3"/>
  <c r="F17" i="1"/>
  <c r="C24" i="13"/>
  <c r="F12" i="13"/>
  <c r="E30" i="12"/>
  <c r="I13" i="13"/>
  <c r="F15" i="1"/>
  <c r="F13" i="13"/>
  <c r="L25" i="3"/>
  <c r="E56" i="12"/>
  <c r="C12" i="13"/>
  <c r="I31" i="3"/>
  <c r="E58" i="12"/>
  <c r="I12" i="13"/>
  <c r="I39" i="3"/>
  <c r="C7" i="3"/>
  <c r="C38" i="3"/>
  <c r="E32" i="12"/>
  <c r="L33" i="3"/>
  <c r="E31" i="12"/>
  <c r="L29" i="3"/>
  <c r="C25" i="13"/>
  <c r="E96" i="12"/>
  <c r="C22" i="13"/>
  <c r="E28" i="12"/>
  <c r="L21" i="3"/>
  <c r="C13" i="13"/>
  <c r="F13" i="1"/>
  <c r="C21" i="13"/>
  <c r="F9" i="13"/>
  <c r="F21" i="13"/>
  <c r="I9" i="13"/>
  <c r="C9" i="13"/>
  <c r="E100" i="12"/>
  <c r="E91" i="12"/>
  <c r="C10" i="13"/>
  <c r="E85" i="12"/>
  <c r="F10" i="13"/>
  <c r="E94" i="12"/>
  <c r="F14" i="1"/>
  <c r="D48" i="12"/>
  <c r="D42" i="12"/>
  <c r="D44" i="12"/>
  <c r="F23" i="13" s="1"/>
  <c r="D50" i="12"/>
  <c r="D49" i="12"/>
  <c r="D47" i="12"/>
  <c r="D41" i="12"/>
  <c r="D45" i="12"/>
  <c r="F11" i="13" s="1"/>
  <c r="D46" i="12"/>
  <c r="C11" i="13" s="1"/>
  <c r="E37" i="12"/>
  <c r="D51" i="12"/>
  <c r="D43" i="12"/>
  <c r="E24" i="12"/>
  <c r="E62" i="12"/>
  <c r="E89" i="2"/>
  <c r="D89" i="2"/>
  <c r="C89" i="2"/>
  <c r="H87" i="2"/>
  <c r="I87" i="2" s="1"/>
  <c r="H86" i="2"/>
  <c r="I86" i="2" s="1"/>
  <c r="I85" i="2"/>
  <c r="H85" i="2"/>
  <c r="H84" i="2"/>
  <c r="I84" i="2" s="1"/>
  <c r="H83" i="2"/>
  <c r="I83" i="2" s="1"/>
  <c r="H82" i="2"/>
  <c r="I82" i="2" s="1"/>
  <c r="H81" i="2"/>
  <c r="I81" i="2" s="1"/>
  <c r="I80" i="2"/>
  <c r="H80" i="2"/>
  <c r="H79" i="2"/>
  <c r="I79" i="2" s="1"/>
  <c r="H78" i="2"/>
  <c r="I78" i="2" s="1"/>
  <c r="I77" i="2"/>
  <c r="H77" i="2"/>
  <c r="H76" i="2"/>
  <c r="I76" i="2" s="1"/>
  <c r="H75" i="2"/>
  <c r="I75" i="2" s="1"/>
  <c r="H74" i="2"/>
  <c r="I74" i="2" s="1"/>
  <c r="H73" i="2"/>
  <c r="I73" i="2" s="1"/>
  <c r="H72" i="2"/>
  <c r="I72" i="2" s="1"/>
  <c r="H71" i="2"/>
  <c r="I71" i="2" s="1"/>
  <c r="I70" i="2"/>
  <c r="H70" i="2"/>
  <c r="H69" i="2"/>
  <c r="I69" i="2" s="1"/>
  <c r="I68" i="2"/>
  <c r="H68" i="2"/>
  <c r="H67" i="2"/>
  <c r="I67" i="2" s="1"/>
  <c r="H66" i="2"/>
  <c r="I66" i="2" s="1"/>
  <c r="M65" i="2"/>
  <c r="I65" i="2"/>
  <c r="H65" i="2"/>
  <c r="H64" i="2"/>
  <c r="I64" i="2" s="1"/>
  <c r="H63" i="2"/>
  <c r="I63" i="2" s="1"/>
  <c r="H62" i="2"/>
  <c r="I61" i="2"/>
  <c r="H61" i="2"/>
  <c r="H60" i="2"/>
  <c r="I60" i="2" s="1"/>
  <c r="H59" i="2"/>
  <c r="I59" i="2" s="1"/>
  <c r="F28" i="13" l="1"/>
  <c r="F29" i="13" s="1"/>
  <c r="C16" i="13"/>
  <c r="C17" i="13" s="1"/>
  <c r="F16" i="13"/>
  <c r="F17" i="13" s="1"/>
  <c r="C23" i="13"/>
  <c r="C28" i="13" s="1"/>
  <c r="C29" i="13" s="1"/>
  <c r="F16" i="1"/>
  <c r="I11" i="13"/>
  <c r="I16" i="13" s="1"/>
  <c r="I17" i="13" s="1"/>
  <c r="O65" i="2"/>
  <c r="J59" i="2"/>
  <c r="J71" i="2"/>
  <c r="J83" i="2"/>
  <c r="J72" i="2"/>
  <c r="J84" i="2"/>
  <c r="J61" i="2"/>
  <c r="J73" i="2"/>
  <c r="J85" i="2"/>
  <c r="J62" i="2"/>
  <c r="J74" i="2"/>
  <c r="J86" i="2"/>
  <c r="J63" i="2"/>
  <c r="J75" i="2"/>
  <c r="J87" i="2"/>
  <c r="J64" i="2"/>
  <c r="J76" i="2"/>
  <c r="J65" i="2"/>
  <c r="J77" i="2"/>
  <c r="J66" i="2"/>
  <c r="J78" i="2"/>
  <c r="J67" i="2"/>
  <c r="J79" i="2"/>
  <c r="J68" i="2"/>
  <c r="J80" i="2"/>
  <c r="J69" i="2"/>
  <c r="J81" i="2"/>
  <c r="J70" i="2"/>
  <c r="J82" i="2"/>
  <c r="J60" i="2"/>
  <c r="M74" i="2"/>
  <c r="I62" i="2"/>
  <c r="M70" i="2"/>
  <c r="M80" i="2"/>
  <c r="M68" i="2"/>
  <c r="M77" i="2"/>
  <c r="E31" i="3"/>
  <c r="E43" i="3"/>
  <c r="M75" i="2"/>
  <c r="M71" i="2"/>
  <c r="M81" i="2"/>
  <c r="M78" i="2"/>
  <c r="M72" i="2"/>
  <c r="M82" i="2"/>
  <c r="M67" i="2"/>
  <c r="M59" i="2"/>
  <c r="M69" i="2"/>
  <c r="M79" i="2"/>
  <c r="M86" i="2"/>
  <c r="M66" i="2"/>
  <c r="M76" i="2"/>
  <c r="M63" i="2"/>
  <c r="M83" i="2"/>
  <c r="M60" i="2"/>
  <c r="M64" i="2"/>
  <c r="M84" i="2"/>
  <c r="E35" i="3"/>
  <c r="M87" i="2"/>
  <c r="M61" i="2"/>
  <c r="M73" i="2"/>
  <c r="M85" i="2"/>
  <c r="E39" i="3"/>
  <c r="C21" i="1" l="1"/>
  <c r="C25" i="1"/>
  <c r="C23" i="1"/>
  <c r="C22" i="1"/>
  <c r="C24" i="1"/>
  <c r="E22" i="1"/>
  <c r="E25" i="1"/>
  <c r="E24" i="1"/>
  <c r="E21" i="1"/>
  <c r="E23" i="1"/>
  <c r="O77" i="2"/>
  <c r="O64" i="2"/>
  <c r="O85" i="2"/>
  <c r="O69" i="2"/>
  <c r="O81" i="2"/>
  <c r="O68" i="2"/>
  <c r="O70" i="2"/>
  <c r="O78" i="2"/>
  <c r="O73" i="2"/>
  <c r="O60" i="2"/>
  <c r="O79" i="2"/>
  <c r="O61" i="2"/>
  <c r="O83" i="2"/>
  <c r="O63" i="2"/>
  <c r="O84" i="2"/>
  <c r="O80" i="2"/>
  <c r="O72" i="2"/>
  <c r="O59" i="2"/>
  <c r="O71" i="2"/>
  <c r="O74" i="2"/>
  <c r="O86" i="2"/>
  <c r="N87" i="2"/>
  <c r="O87" i="2" s="1"/>
  <c r="O75" i="2"/>
  <c r="O76" i="2"/>
  <c r="O67" i="2"/>
  <c r="O66" i="2"/>
  <c r="O82" i="2"/>
  <c r="K80" i="2"/>
  <c r="K68" i="2"/>
  <c r="K79" i="2"/>
  <c r="K62" i="2"/>
  <c r="K85" i="2"/>
  <c r="K66" i="2"/>
  <c r="K73" i="2"/>
  <c r="K77" i="2"/>
  <c r="K61" i="2"/>
  <c r="K60" i="2"/>
  <c r="K65" i="2"/>
  <c r="K84" i="2"/>
  <c r="K63" i="2"/>
  <c r="K86" i="2"/>
  <c r="K74" i="2"/>
  <c r="K67" i="2"/>
  <c r="K78" i="2"/>
  <c r="K82" i="2"/>
  <c r="K76" i="2"/>
  <c r="K72" i="2"/>
  <c r="K70" i="2"/>
  <c r="K64" i="2"/>
  <c r="K83" i="2"/>
  <c r="K81" i="2"/>
  <c r="K87" i="2"/>
  <c r="K71" i="2"/>
  <c r="K69" i="2"/>
  <c r="K75" i="2"/>
  <c r="K59" i="2"/>
  <c r="M62" i="2"/>
  <c r="O6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00000000-0006-0000-0100-000001000000}">
      <text>
        <r>
          <rPr>
            <sz val="12"/>
            <color theme="1"/>
            <rFont val="Arial"/>
            <family val="2"/>
            <scheme val="minor"/>
          </rPr>
          <t>Added a rule that no adjustment would lower what they received last year.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0D148EF-9835-44AF-BDD4-B00C3CA447BC}" keepAlive="1" name="Query - 2024 Rates" description="Connection to the '2024 Rates' query in the workbook." type="5" refreshedVersion="8" background="1" saveData="1">
    <dbPr connection="Provider=Microsoft.Mashup.OleDb.1;Data Source=$Workbook$;Location=&quot;2024 Rates&quot;;Extended Properties=&quot;&quot;" command="SELECT * FROM [2024 Rates]"/>
  </connection>
</connections>
</file>

<file path=xl/sharedStrings.xml><?xml version="1.0" encoding="utf-8"?>
<sst xmlns="http://schemas.openxmlformats.org/spreadsheetml/2006/main" count="496" uniqueCount="365">
  <si>
    <t>FEB Central Salary Guide</t>
  </si>
  <si>
    <t>Published October 2026</t>
  </si>
  <si>
    <t>Salary Summary</t>
  </si>
  <si>
    <t xml:space="preserve">To Start: Choose the appropriate options from the green dropdown cells below in order to calculate a suggested salary. </t>
  </si>
  <si>
    <t>Each calculation starts with a Base Amount and then considers geography, church size, experience, education in order to provide a salary band or range.</t>
  </si>
  <si>
    <t>The resulting salary range can be used as a guideline for determining an appropriate salary.</t>
  </si>
  <si>
    <t>Salary Calculation</t>
  </si>
  <si>
    <t>Base Amount</t>
  </si>
  <si>
    <t>Housing Adjustment</t>
  </si>
  <si>
    <t>Cambridge &amp; KW</t>
  </si>
  <si>
    <t>Church Size Adjustment</t>
  </si>
  <si>
    <t>Church Size 100-200</t>
  </si>
  <si>
    <t>Experience (including at previous churches)</t>
  </si>
  <si>
    <t>8 years of experience</t>
  </si>
  <si>
    <t>Education (Theological)</t>
  </si>
  <si>
    <t>Masters</t>
  </si>
  <si>
    <t>Salary Range</t>
  </si>
  <si>
    <t>Lead Pastor</t>
  </si>
  <si>
    <t>to</t>
  </si>
  <si>
    <t>Senior Associate</t>
  </si>
  <si>
    <t>Middle Associate</t>
  </si>
  <si>
    <t>Junior Associate</t>
  </si>
  <si>
    <t xml:space="preserve"> </t>
  </si>
  <si>
    <t>Pre-Associate</t>
  </si>
  <si>
    <t>Plus Recommended Benefits</t>
  </si>
  <si>
    <t>Recommended Benefits</t>
  </si>
  <si>
    <t>Recommended Benefits (in addition to salary)</t>
  </si>
  <si>
    <r>
      <rPr>
        <b/>
        <sz val="11"/>
        <color rgb="FF000000"/>
        <rFont val="Arial"/>
        <family val="2"/>
        <scheme val="major"/>
      </rPr>
      <t xml:space="preserve">   • RRSP:</t>
    </r>
    <r>
      <rPr>
        <sz val="11"/>
        <color rgb="FF000000"/>
        <rFont val="Arial"/>
        <family val="2"/>
        <scheme val="major"/>
      </rPr>
      <t xml:space="preserve"> Church Contributes 5% of Salary</t>
    </r>
  </si>
  <si>
    <r>
      <rPr>
        <b/>
        <sz val="11"/>
        <color rgb="FF000000"/>
        <rFont val="Arial"/>
        <family val="2"/>
        <scheme val="major"/>
      </rPr>
      <t xml:space="preserve">   • Health:</t>
    </r>
    <r>
      <rPr>
        <sz val="11"/>
        <color rgb="FF000000"/>
        <rFont val="Arial"/>
        <family val="2"/>
        <scheme val="major"/>
      </rPr>
      <t xml:space="preserve"> Church Covers Fellowship Health Plan</t>
    </r>
  </si>
  <si>
    <r>
      <rPr>
        <b/>
        <sz val="11"/>
        <color rgb="FF000000"/>
        <rFont val="Arial"/>
        <family val="2"/>
        <scheme val="major"/>
      </rPr>
      <t xml:space="preserve">   • Personal Development:</t>
    </r>
    <r>
      <rPr>
        <sz val="11"/>
        <color rgb="FF000000"/>
        <rFont val="Arial"/>
        <family val="2"/>
        <scheme val="major"/>
      </rPr>
      <t xml:space="preserve"> Associate Ministry Staff - 2-3% of salary</t>
    </r>
  </si>
  <si>
    <t xml:space="preserve">                                     Lead Pastors - 3-4% of salary</t>
  </si>
  <si>
    <t xml:space="preserve">               (includes items like conferences, books, higher education, subscriptions)</t>
  </si>
  <si>
    <r>
      <rPr>
        <b/>
        <sz val="11"/>
        <color rgb="FF000000"/>
        <rFont val="Arial"/>
        <family val="2"/>
        <scheme val="major"/>
      </rPr>
      <t xml:space="preserve">   • Holidays:</t>
    </r>
    <r>
      <rPr>
        <sz val="11"/>
        <color rgb="FF000000"/>
        <rFont val="Arial"/>
        <family val="2"/>
        <scheme val="major"/>
      </rPr>
      <t xml:space="preserve"> 3-5 weeks annually</t>
    </r>
  </si>
  <si>
    <r>
      <rPr>
        <b/>
        <sz val="11"/>
        <color rgb="FF000000"/>
        <rFont val="Arial"/>
        <family val="2"/>
        <scheme val="major"/>
      </rPr>
      <t xml:space="preserve">   • Study Leave:</t>
    </r>
    <r>
      <rPr>
        <sz val="11"/>
        <color rgb="FF000000"/>
        <rFont val="Arial"/>
        <family val="2"/>
        <scheme val="major"/>
      </rPr>
      <t xml:space="preserve"> One week annually</t>
    </r>
  </si>
  <si>
    <r>
      <rPr>
        <b/>
        <sz val="11"/>
        <color rgb="FF000000"/>
        <rFont val="Arial"/>
        <family val="2"/>
        <scheme val="major"/>
      </rPr>
      <t xml:space="preserve">   • Moving Allowance:</t>
    </r>
    <r>
      <rPr>
        <sz val="11"/>
        <color rgb="FF000000"/>
        <rFont val="Arial"/>
        <family val="2"/>
        <scheme val="major"/>
      </rPr>
      <t xml:space="preserve"> One time moving costs covered</t>
    </r>
  </si>
  <si>
    <r>
      <rPr>
        <b/>
        <sz val="11"/>
        <color rgb="FF000000"/>
        <rFont val="Arial"/>
        <family val="2"/>
        <scheme val="major"/>
      </rPr>
      <t xml:space="preserve">   • The indexed Salary Range or Band</t>
    </r>
    <r>
      <rPr>
        <sz val="11"/>
        <color rgb="FF000000"/>
        <rFont val="Arial"/>
        <family val="2"/>
        <scheme val="major"/>
      </rPr>
      <t xml:space="preserve"> gives churches the opportunity to reward quality work while keeping the range aligned with inflation. A church may start a staff member somewhere in the middle of the range (giving credit for past merit) and move them higher after a strong year and/or for added responsibility. A new staff member to ministry might start at the bottom of the range.</t>
    </r>
  </si>
  <si>
    <t xml:space="preserve">   • Categories of Ministry Staff</t>
  </si>
  <si>
    <t>The salary guide has 5 categories: Lead Pastor, Senior Associate, Middle Associate, Junior Associate, and Pre-Associate.</t>
  </si>
  <si>
    <t>Each church will need to decide which category best matches a Staff member's level of responsibilty. The guidelines below offer assistance:</t>
  </si>
  <si>
    <r>
      <t>Lead Pastor</t>
    </r>
    <r>
      <rPr>
        <sz val="11"/>
        <color rgb="FF000000"/>
        <rFont val="Arial"/>
        <family val="2"/>
        <scheme val="major"/>
      </rPr>
      <t xml:space="preserve"> - The Lead role in a church or site and is often called the Lead Pastor, Senior Pastor, Site Pastor, or simply Pastor.</t>
    </r>
  </si>
  <si>
    <r>
      <t xml:space="preserve">Senior Associate - </t>
    </r>
    <r>
      <rPr>
        <sz val="11"/>
        <color rgb="FF000000"/>
        <rFont val="Arial"/>
        <family val="2"/>
        <scheme val="major"/>
      </rPr>
      <t>This typically is the Primary Associate to the Lead Pastor. Often the majority of the church staff report to this person.</t>
    </r>
  </si>
  <si>
    <r>
      <t xml:space="preserve">Middle Associate - </t>
    </r>
    <r>
      <rPr>
        <sz val="11"/>
        <color rgb="FF000000"/>
        <rFont val="Arial"/>
        <family val="2"/>
        <scheme val="major"/>
      </rPr>
      <t xml:space="preserve">The Associate role with an above average level of responsibility. </t>
    </r>
    <r>
      <rPr>
        <sz val="11"/>
        <color rgb="FFFF0000"/>
        <rFont val="Arial"/>
        <family val="2"/>
        <scheme val="major"/>
      </rPr>
      <t xml:space="preserve"> </t>
    </r>
    <r>
      <rPr>
        <sz val="11"/>
        <color rgb="FF000000"/>
        <rFont val="Arial"/>
        <family val="2"/>
        <scheme val="major"/>
      </rPr>
      <t>Typically a Middle Associate supervises 1-3 staff and/or a large number of volunteers.</t>
    </r>
  </si>
  <si>
    <r>
      <t>Junior Associate -</t>
    </r>
    <r>
      <rPr>
        <sz val="11"/>
        <color rgb="FF000000"/>
        <rFont val="Arial"/>
        <family val="2"/>
        <scheme val="major"/>
      </rPr>
      <t xml:space="preserve"> An Associate role with an average level of responsibilty. </t>
    </r>
  </si>
  <si>
    <r>
      <t xml:space="preserve">Pre-Associate - </t>
    </r>
    <r>
      <rPr>
        <sz val="11"/>
        <color rgb="FF000000"/>
        <rFont val="Arial"/>
        <family val="2"/>
        <scheme val="major"/>
      </rPr>
      <t>An entry-level ministry role. For example, a church may have a high capacity volunteer who was hired as ministry staff because of their strong abilities. They will likely need to move up to Junior Associate or Middle Associate as their gifts develop and their responsibilities increase.</t>
    </r>
  </si>
  <si>
    <t>Annual Raises and Reviews:</t>
  </si>
  <si>
    <t>Staff should be reviewed annually based on a job description and previously agreed-upon annual goals.</t>
  </si>
  <si>
    <t xml:space="preserve">   • Annual raises should distinguish cost of living from merit. COLA increases both the calculated salary base and the salary range; merit increases are reflected by moving the salary higher within that indexed range.</t>
  </si>
  <si>
    <t xml:space="preserve">   • Some staff salaries may be lower than the salary guide suggests, warranting a larger-than-normal one-time increase.</t>
  </si>
  <si>
    <t xml:space="preserve">   • For temporary situations that may warrant compensation consideration, if a staff member is required to take on more responsibility than normal, it may be advisable to consider a year-end (or monthly) bonus for the individual rather than a salary adjustment. Temporary situations for such consideration might include covering a staff vacancy or responding/preparing for a season of change or rapid growth.  Any bonuses must be run through payroll and are subject to applicable taxes.</t>
  </si>
  <si>
    <t xml:space="preserve">   • For blended roles (e.g. youth/worship) that are typically longer term expectations, the overall level of responsibility should be considered for salary grid placement.</t>
  </si>
  <si>
    <t>The Impact of Housing Costs:</t>
  </si>
  <si>
    <t>Housing prices have plateaued in many communities in the past year.</t>
  </si>
  <si>
    <t>Despite that, housing prices and interest rates make it wise to set compensation accordingly.</t>
  </si>
  <si>
    <t>Other Notes:</t>
  </si>
  <si>
    <t>Paying staff adequately is biblical (see 1 Tim. 5:17-18) and encourages long-term ministry.</t>
  </si>
  <si>
    <t>This worksheet is intended as a guideline rather than a rule.</t>
  </si>
  <si>
    <t>Please contact FEB Central if you have further questions. Your feedback is welcome.</t>
  </si>
  <si>
    <t xml:space="preserve">FEB CENTRAL                </t>
  </si>
  <si>
    <t>LEAD PASTOR and ASSOCIATE STAFF SALARY GUIDE</t>
  </si>
  <si>
    <t>Housing Adjustment, Selected Communities</t>
  </si>
  <si>
    <t>Based on an average 3br Townhouse or House up to 1800 sq ft</t>
  </si>
  <si>
    <t>Housing adjustments are fixed base values adjusted annually by COLA (inflation).</t>
  </si>
  <si>
    <t>To determine the housing adjustment, locate the city closest to your location.</t>
  </si>
  <si>
    <t>Contact FEB Central if your community is not listed.</t>
  </si>
  <si>
    <t>Enter Amount Here:</t>
  </si>
  <si>
    <t>Notes</t>
  </si>
  <si>
    <t>a) Housing Costs are based on an average 3-bedroom townhouse or house</t>
  </si>
  <si>
    <t>b) Monthly Carrying Costs are based approximately on 10% down, 4.40% mortgage rate, 25 year amortization plus utilities ($400) and taxes ($425)</t>
  </si>
  <si>
    <t>c) All amounts are estimates based on a survey of listings on zoocasa.ca. You can consult this site for the latest prices in your area.</t>
  </si>
  <si>
    <t>d) Actual amounts for suitable homes will vary.</t>
  </si>
  <si>
    <t>e) Please contact FEB Central if you think the estimates are not accurate for your area.</t>
  </si>
  <si>
    <r>
      <rPr>
        <b/>
        <sz val="11"/>
        <rFont val="Arial"/>
        <family val="2"/>
      </rPr>
      <t xml:space="preserve">Selling prices researched through </t>
    </r>
    <r>
      <rPr>
        <b/>
        <u/>
        <sz val="11"/>
        <color rgb="FF1155CC"/>
        <rFont val="Arial"/>
        <family val="2"/>
      </rPr>
      <t>Zoocasa.ca</t>
    </r>
  </si>
  <si>
    <t>Rounding to $25,000</t>
  </si>
  <si>
    <t>House Carrying Costs</t>
  </si>
  <si>
    <t>Community</t>
  </si>
  <si>
    <t>2024 Adj House Price</t>
  </si>
  <si>
    <t>2025 Adj House Price</t>
  </si>
  <si>
    <t>Monthly</t>
  </si>
  <si>
    <t>Annual</t>
  </si>
  <si>
    <t>2024 Adjustment</t>
  </si>
  <si>
    <t>2025 Adjust</t>
  </si>
  <si>
    <t>Sault Ste. Marie</t>
  </si>
  <si>
    <t>Belleville</t>
  </si>
  <si>
    <t>Goderich</t>
  </si>
  <si>
    <t>Orillia</t>
  </si>
  <si>
    <t>Strathroy</t>
  </si>
  <si>
    <t>Woodstock</t>
  </si>
  <si>
    <t>St Catharines</t>
  </si>
  <si>
    <t>Lindsay</t>
  </si>
  <si>
    <t>Windsor</t>
  </si>
  <si>
    <t>Montreal</t>
  </si>
  <si>
    <t>London</t>
  </si>
  <si>
    <t>Paris</t>
  </si>
  <si>
    <t>Markdale</t>
  </si>
  <si>
    <t>Hamilton</t>
  </si>
  <si>
    <t>Brantford</t>
  </si>
  <si>
    <t>Ottawa</t>
  </si>
  <si>
    <t>Barrie</t>
  </si>
  <si>
    <t>Huntsville</t>
  </si>
  <si>
    <t>Fergus</t>
  </si>
  <si>
    <t>Oshawa</t>
  </si>
  <si>
    <t>Guelph</t>
  </si>
  <si>
    <t>Whitby</t>
  </si>
  <si>
    <t>Ajax</t>
  </si>
  <si>
    <t>Burlington</t>
  </si>
  <si>
    <t>Toronto Etobicoke</t>
  </si>
  <si>
    <t>Toronto Scarborough</t>
  </si>
  <si>
    <t>Mississauga</t>
  </si>
  <si>
    <t>Oakville</t>
  </si>
  <si>
    <t>Median</t>
  </si>
  <si>
    <t>Notes:</t>
  </si>
  <si>
    <r>
      <rPr>
        <b/>
        <sz val="12"/>
        <color rgb="FF000000"/>
        <rFont val="Calibri"/>
        <family val="2"/>
      </rPr>
      <t>Housing costs:</t>
    </r>
    <r>
      <rPr>
        <sz val="12"/>
        <color rgb="FF000000"/>
        <rFont val="Calibri"/>
        <family val="2"/>
      </rPr>
      <t xml:space="preserve">  Used Zoocasa filtering for 3bdrm or more. Homes, up to 1800 sq ft, less than $1 million selling price (Toronto and area less than $1.25 mil), sold since Jan 1st 2025.  Typically was able to average 20 most recently sold homes.</t>
    </r>
  </si>
  <si>
    <r>
      <rPr>
        <b/>
        <sz val="12"/>
        <color theme="1"/>
        <rFont val="Calibri"/>
        <family val="2"/>
      </rPr>
      <t>Mortgage costs:</t>
    </r>
    <r>
      <rPr>
        <sz val="12"/>
        <color theme="1"/>
        <rFont val="Calibri"/>
        <family val="2"/>
      </rPr>
      <t xml:space="preserve">  Used 4 big banks, 5 yr fixed, high ratio</t>
    </r>
  </si>
  <si>
    <r>
      <rPr>
        <b/>
        <sz val="12"/>
        <color theme="1"/>
        <rFont val="Calibri"/>
        <family val="2"/>
      </rPr>
      <t>Carrying Costs</t>
    </r>
    <r>
      <rPr>
        <sz val="12"/>
        <color theme="1"/>
        <rFont val="Calibri"/>
        <family val="2"/>
      </rPr>
      <t>: Include Mortgage, Utilities and Property Taxes</t>
    </r>
  </si>
  <si>
    <t xml:space="preserve">LEAD PASTOR and ASSOCIATE STAFF SALARY GUIDE                         </t>
  </si>
  <si>
    <t>Track Record, Experience, Education, and Size Adjustments</t>
  </si>
  <si>
    <t>Track Record &amp; Merit</t>
  </si>
  <si>
    <t>Experience</t>
  </si>
  <si>
    <t>Sliding Scale                 0 to</t>
  </si>
  <si>
    <t>Years 0-10                       per year</t>
  </si>
  <si>
    <t>0 Years of experience</t>
  </si>
  <si>
    <t>-</t>
  </si>
  <si>
    <t>Track Record and Merit should be assigned within the indexed range</t>
  </si>
  <si>
    <t>1 year of experience</t>
  </si>
  <si>
    <t>based on past ministry effectiveness, skills, and responsibility.</t>
  </si>
  <si>
    <t>2 years of experience</t>
  </si>
  <si>
    <t>3 years of experience</t>
  </si>
  <si>
    <t>4 years of experience</t>
  </si>
  <si>
    <t>5 years of experience</t>
  </si>
  <si>
    <t>6 years of experience</t>
  </si>
  <si>
    <t>7 years of experience</t>
  </si>
  <si>
    <t>SIZE ADJUSTMENT</t>
  </si>
  <si>
    <t>9 years of experience</t>
  </si>
  <si>
    <t>10 plus years of experience</t>
  </si>
  <si>
    <t>Example 1</t>
  </si>
  <si>
    <t>Church Size: 0-100</t>
  </si>
  <si>
    <t>TRACK RECORD ADJUSTMENT</t>
  </si>
  <si>
    <t>EXPERIENCE ADJUSTMENT</t>
  </si>
  <si>
    <t>Example 2</t>
  </si>
  <si>
    <t>Enter Years Here:</t>
  </si>
  <si>
    <t>EDUCATION ADJUSTMENT</t>
  </si>
  <si>
    <t>Church Size: 200-400</t>
  </si>
  <si>
    <t>Adjustment Amount Here:</t>
  </si>
  <si>
    <t>Example 3</t>
  </si>
  <si>
    <t>Church Size: 400-800</t>
  </si>
  <si>
    <t>Track Record &amp; Merit: Average</t>
  </si>
  <si>
    <t>Experience:     5 yrs                5X</t>
  </si>
  <si>
    <t>Education: Bachelors</t>
  </si>
  <si>
    <t>Example 4</t>
  </si>
  <si>
    <t>Church Size: 800-1200</t>
  </si>
  <si>
    <t>Track Record &amp; Merit: Good</t>
  </si>
  <si>
    <t>Experience:   4 yrs                   4X</t>
  </si>
  <si>
    <t>Education: Masters</t>
  </si>
  <si>
    <t>Track Record &amp; Merit: Excellent</t>
  </si>
  <si>
    <t>Experience:  10 yrs              10X</t>
  </si>
  <si>
    <t xml:space="preserve">Education: Doctorate </t>
  </si>
  <si>
    <t>Track Record &amp; Merit: New guy with no experience</t>
  </si>
  <si>
    <t>Experience: 20 yrs capped at 10X</t>
  </si>
  <si>
    <t>Education: none</t>
  </si>
  <si>
    <t>Note: The indexed merit range gives churches the opportunity to reward</t>
  </si>
  <si>
    <t xml:space="preserve">      -no completed theological degree</t>
  </si>
  <si>
    <t>quality work while keeping the range aligned annually with COLA.</t>
  </si>
  <si>
    <t>A church may start a staff member in the middle of the range</t>
  </si>
  <si>
    <t>to recognize past merit, then move them higher after a strong year</t>
  </si>
  <si>
    <t>and/or for added responsibility.</t>
  </si>
  <si>
    <t>FEB CENTRAL SALARY GUIDE</t>
  </si>
  <si>
    <t>Salary Calculation Examples</t>
  </si>
  <si>
    <t>The following examples illustrate how salaries are calculated for different scenarios.</t>
  </si>
  <si>
    <t>Example 1 - Lead Pastor, Church of 90 in Mississauga</t>
  </si>
  <si>
    <t>Example 2 - Youth Pastor, Church of 350 in Guelph</t>
  </si>
  <si>
    <t>Example 3 - Discipleship Pastor, Church of 250 in London</t>
  </si>
  <si>
    <t>Base Amount:</t>
  </si>
  <si>
    <t>Housing Adjustment: Mississauga</t>
  </si>
  <si>
    <t>Housing Adjustment: Guelph</t>
  </si>
  <si>
    <t>Housing Adjustment: London</t>
  </si>
  <si>
    <t>Experience: 5 years</t>
  </si>
  <si>
    <t>Experience: 4 years</t>
  </si>
  <si>
    <t>Experience: 10 years</t>
  </si>
  <si>
    <t>Education: Doctorate</t>
  </si>
  <si>
    <t>Level: Lead Pastor</t>
  </si>
  <si>
    <t>Level: Junior Associate</t>
  </si>
  <si>
    <t>Level: Middle Associate</t>
  </si>
  <si>
    <t>Example 1 Salary Range:</t>
  </si>
  <si>
    <t>Example 2 Salary Range:</t>
  </si>
  <si>
    <t>Example 3 Salary Range:</t>
  </si>
  <si>
    <t>Range Maximum:</t>
  </si>
  <si>
    <t>Example 4 - Executive Pastor, Church of 750 in Ottawa</t>
  </si>
  <si>
    <t>Example 5 - Lead Pastor, Church of 150 in Montreal</t>
  </si>
  <si>
    <t>Housing Adjustment: Ottawa</t>
  </si>
  <si>
    <t>Housing Adjustment: Montreal</t>
  </si>
  <si>
    <t>Experience: 20 years</t>
  </si>
  <si>
    <t>Experience: 3 years</t>
  </si>
  <si>
    <t>Church Size: 100-200</t>
  </si>
  <si>
    <t>Level: Senior Associate</t>
  </si>
  <si>
    <t>Example 4 Salary Range:</t>
  </si>
  <si>
    <t>Example 5 Salary Range:</t>
  </si>
  <si>
    <t xml:space="preserve">   • All values are calculated using formulas that reference the Settings sheet.</t>
  </si>
  <si>
    <t xml:space="preserve">   • When COLA % is updated on the Settings sheet, both calculated salary minimums and the salary range update automatically.</t>
  </si>
  <si>
    <t xml:space="preserve">   • Lead Pastor salaries use 100% of the calculated amount.</t>
  </si>
  <si>
    <t xml:space="preserve">   • Senior Associate = 93%, Middle Associate = 85%, Junior Associate = 78%, Pre-Associate = 70%</t>
  </si>
  <si>
    <t xml:space="preserve">   • Salary ranges run from the calculated minimum to the minimum plus the indexed range amount set on the Settings sheet</t>
  </si>
  <si>
    <t>Adminstrative and Support Compensation</t>
  </si>
  <si>
    <t>Living wage region</t>
  </si>
  <si>
    <t>2024</t>
  </si>
  <si>
    <t>2025</t>
  </si>
  <si>
    <t>$ change</t>
  </si>
  <si>
    <t>% change</t>
  </si>
  <si>
    <t>Greater Toronto Area</t>
  </si>
  <si>
    <t>Bruce Grey Huron Perth Simcoe</t>
  </si>
  <si>
    <t>Dufferin Guelph Wellington Waterloo</t>
  </si>
  <si>
    <t>East</t>
  </si>
  <si>
    <t>Southwest</t>
  </si>
  <si>
    <t>Brant Haldimand Norfolk Niagara</t>
  </si>
  <si>
    <t>North</t>
  </si>
  <si>
    <t>London Elgin Oxford</t>
  </si>
  <si>
    <t>What region is my church located in?</t>
  </si>
  <si>
    <t>Living Wage Ontario map</t>
  </si>
  <si>
    <t>Updates November of each year</t>
  </si>
  <si>
    <r>
      <t xml:space="preserve">The Living Wage suggests a </t>
    </r>
    <r>
      <rPr>
        <u/>
        <sz val="11"/>
        <color theme="1"/>
        <rFont val="Arial"/>
        <family val="2"/>
        <scheme val="major"/>
      </rPr>
      <t>starting</t>
    </r>
    <r>
      <rPr>
        <sz val="11"/>
        <color theme="1"/>
        <rFont val="Arial"/>
        <family val="2"/>
        <scheme val="major"/>
      </rPr>
      <t xml:space="preserve"> hourly wage that could be used by churches as they consider wages for administrative staff.</t>
    </r>
  </si>
  <si>
    <t>The Living Wage does not take into account level of responsiblity, tenure and education.</t>
  </si>
  <si>
    <t>CRA Clergy Residence Deduction</t>
  </si>
  <si>
    <t>Information for FEB Central Churches and Clergy (as defined by CRA)</t>
  </si>
  <si>
    <t>WHAT IS IT?</t>
  </si>
  <si>
    <t xml:space="preserve">Our intention is to care for our church staff by making both the Elders/Deacons Board and staff aware of the tax benefit available to them. The Clergy Residence Deduction is a tax benefit available to eligible clergy members in Canada. It allows qualifying individuals to deduct housing-related expenses from their taxable income, reducing their overall tax burden.  We would encourage you to explore eligibility beyond what we normally understand as clergy. </t>
  </si>
  <si>
    <t>Interpretation Bulletin (especially helpful in defining Eligibility)</t>
  </si>
  <si>
    <t>WHO QUALIFIES?</t>
  </si>
  <si>
    <t>To be eligible, you must be employed full-time as someone who is:</t>
  </si>
  <si>
    <t xml:space="preserve">   • A member of the clergy OR</t>
  </si>
  <si>
    <t xml:space="preserve">   • A regular minister of a religious denomination OR</t>
  </si>
  <si>
    <t xml:space="preserve">   • A member of a religious order</t>
  </si>
  <si>
    <t>AND you must be:</t>
  </si>
  <si>
    <t xml:space="preserve">   • In charge of or ministering to a diocese, parish, or congregation, OR</t>
  </si>
  <si>
    <t xml:space="preserve">   • Engaged exclusively in full-time administrative service by appointment of a religious order or denomination</t>
  </si>
  <si>
    <t>Source: CRA Line 23100 – Clergy Residence Deduction: https://www.canada.ca/en/revenue-agency/services/tax/individuals/topics/about-your-tax-return/tax-return/completing-a-tax-return/deductions-credits-expenses/line-23100-clergy-residence-deduction.html</t>
  </si>
  <si>
    <t>HOW MUCH CAN BE CLAIMED?</t>
  </si>
  <si>
    <t>The deduction amount is the LESSER of:</t>
  </si>
  <si>
    <t xml:space="preserve">   • Your qualifying employment income, OR</t>
  </si>
  <si>
    <t xml:space="preserve">   • The greater of: (a) One-third of your employment income, or (b) $1,000 per month employed (max $10,000/year)</t>
  </si>
  <si>
    <t>If you rent or own your residence, the deduction is also limited to the actual rent paid (or fair rental value if owned), including utilities.</t>
  </si>
  <si>
    <t>EMPLOYER'S ROLE</t>
  </si>
  <si>
    <t>Churches/employers must complete Part B of Form T1223, certifying that the employee qualifies for the deduction. This includes confirming the employee's clergy status, their role, and whether free accommodation was provided.</t>
  </si>
  <si>
    <t>REQUIRED FORM</t>
  </si>
  <si>
    <t>Form T1223 - Clergy Residence Deduction</t>
  </si>
  <si>
    <t>https://www.canada.ca/en/revenue-agency/services/forms-publications/forms/t1223.html</t>
  </si>
  <si>
    <t>IMPORTANT NOTES</t>
  </si>
  <si>
    <t xml:space="preserve">   • Do NOT send Form T1223 with your tax return - keep it in case CRA requests it</t>
  </si>
  <si>
    <t xml:space="preserve">   • The employee completes Part A and Part C; the employer completes Part B</t>
  </si>
  <si>
    <t xml:space="preserve">   • If employer provides free accommodation, the taxable benefit appears in Box 30 of the T4 slip</t>
  </si>
  <si>
    <t xml:space="preserve">   • For more details, see CRA Interpretation Bulletin IT-141R</t>
  </si>
  <si>
    <t>For more assistance on the Clergy Residence Deduction you may contact Church Vitality.</t>
  </si>
  <si>
    <t>Disclaimer: This information is provided as a general guide only. Please consult with a qualified tax professional or the CRA directly for advice specific to your situation.</t>
  </si>
  <si>
    <t>Notes for 2027</t>
  </si>
  <si>
    <r>
      <t xml:space="preserve">The Salary Guide Team's </t>
    </r>
    <r>
      <rPr>
        <b/>
        <sz val="11"/>
        <color rgb="FF000000"/>
        <rFont val="Arial"/>
        <family val="2"/>
        <scheme val="major"/>
      </rPr>
      <t>Purpose Statement</t>
    </r>
    <r>
      <rPr>
        <sz val="11"/>
        <color rgb="FF000000"/>
        <rFont val="Arial"/>
        <family val="2"/>
        <scheme val="major"/>
      </rPr>
      <t xml:space="preserve"> is: </t>
    </r>
  </si>
  <si>
    <t>We appreciate your prayers in fulfilling this purpose.</t>
  </si>
  <si>
    <t>We used a 2.4% COLA (Cost of Living Adjustment) as a general guideline for base salary and all indexed adjustment increases, based on August 2026 Statistics Canada Ontario CPI data. The salary range is also indexed annually.</t>
  </si>
  <si>
    <t xml:space="preserve">We have simplified the setup by moving all entries to the front page and using dropdown menues. </t>
  </si>
  <si>
    <t>We changed the approach to the Merit section and instead provided a Salary Range or Band.</t>
  </si>
  <si>
    <r>
      <t xml:space="preserve">We added a </t>
    </r>
    <r>
      <rPr>
        <b/>
        <sz val="11"/>
        <color theme="1"/>
        <rFont val="Arial"/>
        <family val="2"/>
        <scheme val="major"/>
      </rPr>
      <t>Clergy Residence Deduction</t>
    </r>
    <r>
      <rPr>
        <sz val="11"/>
        <color theme="1"/>
        <rFont val="Arial"/>
        <family val="2"/>
        <scheme val="major"/>
      </rPr>
      <t xml:space="preserve"> information sheet to help churches and staff.</t>
    </r>
  </si>
  <si>
    <t>We continue to offer a tab called "Living Wage" to offer assistance for churches in considering a starting or base wage for support staff.</t>
  </si>
  <si>
    <t>This guide was completed by a Salary Guide Team made up of leaders from across FEB Central.</t>
  </si>
  <si>
    <t>We welcome your questions and input. We review suggestions and consider them for updates to future editions of the Salary Guide.</t>
  </si>
  <si>
    <t>Settings</t>
  </si>
  <si>
    <t>📋 DOCUMENTATION</t>
  </si>
  <si>
    <t>This sheet consolidates all salary calculation variables into one location.</t>
  </si>
  <si>
    <t>HOW IT WORKS:</t>
  </si>
  <si>
    <t>• Change the COLA % (Cell C16) to update base salary and indexed adjustments automatically</t>
  </si>
  <si>
    <t>• Base Year values are fixed reference points (2026 published values)</t>
  </si>
  <si>
    <t>• Current Year = Base Year × (1 + COLA%) for all salary components</t>
  </si>
  <si>
    <t>• YoY Change shows the dollar difference from prior year</t>
  </si>
  <si>
    <t>MAINTENANCE: Update COLA annually to update all salary components</t>
  </si>
  <si>
    <t>⚙️ COLA CONTROL</t>
  </si>
  <si>
    <t>Setting</t>
  </si>
  <si>
    <t>Value</t>
  </si>
  <si>
    <t>Description</t>
  </si>
  <si>
    <t>COLA (Cost of Living Adjustment)</t>
  </si>
  <si>
    <t>Based on Statistics Canada Ontario CPI</t>
  </si>
  <si>
    <t>⬅️ CHANGE THIS CELL ANNUALLY</t>
  </si>
  <si>
    <t>COLA Factor (1 + COLA%)</t>
  </si>
  <si>
    <t>Multiplier applied to base salary and indexed adjustments only</t>
  </si>
  <si>
    <t>Prior Year COLA (reference)</t>
  </si>
  <si>
    <t>2026 guide used 1.7% COLA</t>
  </si>
  <si>
    <t>💰 BASE SALARY</t>
  </si>
  <si>
    <t>Item</t>
  </si>
  <si>
    <t>Base Year (2026)</t>
  </si>
  <si>
    <t>Current Year</t>
  </si>
  <si>
    <t>YoY Change</t>
  </si>
  <si>
    <t>Starting point for all salary calculations</t>
  </si>
  <si>
    <t>🏛️ CHURCH SIZE ADJUSTMENTS</t>
  </si>
  <si>
    <t>Church Size</t>
  </si>
  <si>
    <t>Display Label</t>
  </si>
  <si>
    <t>0-100</t>
  </si>
  <si>
    <t>Church Size 0-100</t>
  </si>
  <si>
    <t>100-200</t>
  </si>
  <si>
    <t>200-400</t>
  </si>
  <si>
    <t>Church Size 200-400</t>
  </si>
  <si>
    <t>400-800</t>
  </si>
  <si>
    <t>Church Size 400-800</t>
  </si>
  <si>
    <t>800-1200</t>
  </si>
  <si>
    <t>Church Size 800-1200</t>
  </si>
  <si>
    <t>1200+</t>
  </si>
  <si>
    <t>Church Size 1200+</t>
  </si>
  <si>
    <t>📅 EXPERIENCE ADJUSTMENTS</t>
  </si>
  <si>
    <t>Per Year Rate</t>
  </si>
  <si>
    <t>Years 0-10 (per year)</t>
  </si>
  <si>
    <t>Multiplied by years of experience (capped at 10)</t>
  </si>
  <si>
    <t>Experience Lookup Table</t>
  </si>
  <si>
    <t>Years</t>
  </si>
  <si>
    <t>Base Year</t>
  </si>
  <si>
    <t>🎓 EDUCATION ADJUSTMENTS</t>
  </si>
  <si>
    <t>Education Level</t>
  </si>
  <si>
    <t>No Theological degree</t>
  </si>
  <si>
    <t>Bachelors</t>
  </si>
  <si>
    <t>Doctorate</t>
  </si>
  <si>
    <t>⭐ SALARY RANGE</t>
  </si>
  <si>
    <t>Current Year (Indexed)</t>
  </si>
  <si>
    <t>Maximum Salary Range</t>
  </si>
  <si>
    <t>Indexed $0-to-max salary range; adjusted annually by COLA.</t>
  </si>
  <si>
    <t>👥 STAFF LEVEL PERCENTAGES</t>
  </si>
  <si>
    <t>Staff Level</t>
  </si>
  <si>
    <t>Percentage of Calculated Salary</t>
  </si>
  <si>
    <t>Full calculated salary</t>
  </si>
  <si>
    <t>93% of calculated salary</t>
  </si>
  <si>
    <t>85% of calculated salary</t>
  </si>
  <si>
    <t>78% of calculated salary</t>
  </si>
  <si>
    <t>70% of calculated salary</t>
  </si>
  <si>
    <t>1200+ Lead Pastor Premium</t>
  </si>
  <si>
    <t>Applied to Lead Pastor salary when church size is 1200+</t>
  </si>
  <si>
    <t>🏠 HOUSING ADJUSTMENTS BY COMMUNITY</t>
  </si>
  <si>
    <t>Housing amounts are no longer tied to actual housing expenses or current market rental rates. Rather, they are based on the relative cost of housing between locations. The figures are intended to reflect the comparative differences in housing costs from one area to another while maintaining a consistent framework across the salary guide.</t>
  </si>
  <si>
    <t>Brownsburg-Chatham QC</t>
  </si>
  <si>
    <t>London comparable</t>
  </si>
  <si>
    <t>Montreal QC</t>
  </si>
  <si>
    <t>Sherbrooke QC</t>
  </si>
  <si>
    <t>Belleville comparable</t>
  </si>
  <si>
    <t>📋 BENEFITS GUIDELINES (Reference)</t>
  </si>
  <si>
    <t>Benefit</t>
  </si>
  <si>
    <t>Guideline</t>
  </si>
  <si>
    <t>RRSP</t>
  </si>
  <si>
    <t>Church contributes 5% of salary</t>
  </si>
  <si>
    <t>Health</t>
  </si>
  <si>
    <t>Church covers Fellowship Health Plan</t>
  </si>
  <si>
    <t>Personal Development (Associate)</t>
  </si>
  <si>
    <t>2-3% of salary</t>
  </si>
  <si>
    <t>Personal Development (Lead)</t>
  </si>
  <si>
    <t>3-4% of salary</t>
  </si>
  <si>
    <t>Holidays</t>
  </si>
  <si>
    <t>3-5 weeks annually</t>
  </si>
  <si>
    <t>Study Leave</t>
  </si>
  <si>
    <t>One week annually</t>
  </si>
  <si>
    <t>Moving Allowance</t>
  </si>
  <si>
    <t>One-time moving costs covered</t>
  </si>
  <si>
    <t>📝 VERSION &amp; MAINTENANCE NOTES</t>
  </si>
  <si>
    <t>Details</t>
  </si>
  <si>
    <t>Current Version</t>
  </si>
  <si>
    <t>2027 DRAFT</t>
  </si>
  <si>
    <t>Base Year Data</t>
  </si>
  <si>
    <t>2026 Published Values</t>
  </si>
  <si>
    <t>CPI Source</t>
  </si>
  <si>
    <t>Statistics Canada Ontario CPI (August data)</t>
  </si>
  <si>
    <t>Housing Data Source</t>
  </si>
  <si>
    <t>Fixed base values adjusted by COLA (inflation)</t>
  </si>
  <si>
    <t>Annual Update Process</t>
  </si>
  <si>
    <t>Update COLA % in C16 annually; all salary components, including the salary range, update automatically</t>
  </si>
  <si>
    <t>Last Updated</t>
  </si>
  <si>
    <t>See Notes 2026 sheet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</si>
</sst>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164" formatCode="&quot;$&quot;#,##0.00;[Red]\-&quot;$&quot;#,##0.00"/>
    <numFmt numFmtId="165" formatCode="_-&quot;$&quot;* #,##0.00_-;\-&quot;$&quot;* #,##0.00_-;_-&quot;$&quot;* &quot;-&quot;??_-;_-@_-"/>
    <numFmt numFmtId="166" formatCode="_-&quot;$&quot;* #,##0_-;\-&quot;$&quot;* #,##0_-;_-&quot;$&quot;* &quot;-&quot;??_-;_-@"/>
    <numFmt numFmtId="167" formatCode="_(&quot;$&quot;* #,##0_);_(&quot;$&quot;* \(#,##0\);_(&quot;$&quot;* &quot;-&quot;??_);_(@_)"/>
    <numFmt numFmtId="168" formatCode="&quot;$&quot;#,##0"/>
    <numFmt numFmtId="169" formatCode="#,##0;\(#,##0\)"/>
    <numFmt numFmtId="170" formatCode="&quot;$&quot;#,##0.00"/>
    <numFmt numFmtId="171" formatCode="0.0000"/>
  </numFmts>
  <fonts count="76" x14ac:knownFonts="1">
    <font>
      <sz val="12"/>
      <color theme="1"/>
      <name val="Arial"/>
      <scheme val="minor"/>
    </font>
    <font>
      <sz val="11"/>
      <color theme="1"/>
      <name val="Arial"/>
      <family val="2"/>
      <scheme val="minor"/>
    </font>
    <font>
      <sz val="11"/>
      <color theme="1"/>
      <name val="Arial"/>
      <family val="2"/>
      <scheme val="minor"/>
    </font>
    <font>
      <sz val="11"/>
      <color theme="1"/>
      <name val="Arial"/>
      <family val="2"/>
      <scheme val="minor"/>
    </font>
    <font>
      <b/>
      <sz val="22"/>
      <color theme="1"/>
      <name val="Arial"/>
      <family val="2"/>
    </font>
    <font>
      <sz val="12"/>
      <color theme="1"/>
      <name val="Calibri"/>
      <family val="2"/>
    </font>
    <font>
      <b/>
      <sz val="12"/>
      <color theme="1"/>
      <name val="Calibri"/>
      <family val="2"/>
    </font>
    <font>
      <sz val="12"/>
      <color rgb="FF000000"/>
      <name val="Calibri"/>
      <family val="2"/>
    </font>
    <font>
      <sz val="12"/>
      <color theme="1"/>
      <name val="Arial"/>
      <family val="2"/>
    </font>
    <font>
      <b/>
      <sz val="14"/>
      <color theme="1"/>
      <name val="Calibri"/>
      <family val="2"/>
    </font>
    <font>
      <b/>
      <sz val="12"/>
      <color theme="1"/>
      <name val="Arial"/>
      <family val="2"/>
    </font>
    <font>
      <i/>
      <sz val="10"/>
      <color theme="1"/>
      <name val="Calibri"/>
      <family val="2"/>
    </font>
    <font>
      <sz val="12"/>
      <color rgb="FFFF0000"/>
      <name val="Calibri"/>
      <family val="2"/>
    </font>
    <font>
      <sz val="12"/>
      <color theme="1"/>
      <name val="Arial"/>
      <family val="2"/>
      <scheme val="minor"/>
    </font>
    <font>
      <sz val="12"/>
      <color theme="1"/>
      <name val="Arial"/>
      <family val="2"/>
      <scheme val="minor"/>
    </font>
    <font>
      <sz val="8"/>
      <name val="Arial"/>
      <family val="2"/>
      <scheme val="minor"/>
    </font>
    <font>
      <u/>
      <sz val="12"/>
      <color theme="10"/>
      <name val="Arial"/>
      <family val="2"/>
      <scheme val="minor"/>
    </font>
    <font>
      <b/>
      <sz val="11"/>
      <color theme="1"/>
      <name val="Arial"/>
      <family val="2"/>
      <scheme val="minor"/>
    </font>
    <font>
      <b/>
      <sz val="11"/>
      <color theme="1"/>
      <name val="Arial"/>
      <family val="2"/>
    </font>
    <font>
      <i/>
      <sz val="11"/>
      <color theme="1"/>
      <name val="Arial"/>
      <family val="2"/>
      <scheme val="minor"/>
    </font>
    <font>
      <sz val="11"/>
      <color theme="1"/>
      <name val="Arial"/>
      <family val="2"/>
    </font>
    <font>
      <b/>
      <i/>
      <u/>
      <sz val="11"/>
      <color theme="1"/>
      <name val="Arial"/>
      <family val="2"/>
    </font>
    <font>
      <b/>
      <u/>
      <sz val="11"/>
      <color theme="1"/>
      <name val="Arial"/>
      <family val="2"/>
    </font>
    <font>
      <i/>
      <sz val="11"/>
      <color theme="1"/>
      <name val="Arial"/>
      <family val="2"/>
    </font>
    <font>
      <b/>
      <i/>
      <sz val="11"/>
      <color theme="1"/>
      <name val="Arial"/>
      <family val="2"/>
    </font>
    <font>
      <b/>
      <sz val="11"/>
      <color theme="1"/>
      <name val="Calibri"/>
      <family val="2"/>
    </font>
    <font>
      <u/>
      <sz val="11"/>
      <color theme="1"/>
      <name val="Arial"/>
      <family val="2"/>
      <scheme val="minor"/>
    </font>
    <font>
      <b/>
      <i/>
      <sz val="11"/>
      <color theme="1"/>
      <name val="Arial"/>
      <family val="2"/>
      <scheme val="minor"/>
    </font>
    <font>
      <sz val="11"/>
      <color theme="1"/>
      <name val="Arial"/>
      <family val="2"/>
      <scheme val="minor"/>
    </font>
    <font>
      <b/>
      <u/>
      <sz val="11"/>
      <color rgb="FF0000FF"/>
      <name val="Arial"/>
      <family val="2"/>
    </font>
    <font>
      <b/>
      <sz val="11"/>
      <name val="Arial"/>
      <family val="2"/>
    </font>
    <font>
      <b/>
      <u/>
      <sz val="11"/>
      <color rgb="FF1155CC"/>
      <name val="Arial"/>
      <family val="2"/>
    </font>
    <font>
      <i/>
      <sz val="11"/>
      <color theme="1"/>
      <name val="Calibri"/>
      <family val="2"/>
    </font>
    <font>
      <sz val="11"/>
      <name val="Arial"/>
      <family val="2"/>
    </font>
    <font>
      <sz val="11"/>
      <color rgb="FF000000"/>
      <name val="Arial"/>
      <family val="2"/>
    </font>
    <font>
      <b/>
      <sz val="12"/>
      <color rgb="FF000000"/>
      <name val="Calibri"/>
      <family val="2"/>
    </font>
    <font>
      <u/>
      <sz val="12"/>
      <color theme="10"/>
      <name val="Arial"/>
      <family val="2"/>
      <scheme val="minor"/>
    </font>
    <font>
      <i/>
      <sz val="11"/>
      <color rgb="FF7F7F7F"/>
      <name val="Arial"/>
      <family val="2"/>
      <scheme val="minor"/>
    </font>
    <font>
      <b/>
      <i/>
      <sz val="10"/>
      <color theme="1"/>
      <name val="Arial"/>
      <family val="2"/>
      <scheme val="minor"/>
    </font>
    <font>
      <b/>
      <sz val="11"/>
      <color rgb="FFFFFFFF"/>
      <name val="Arial"/>
      <family val="2"/>
      <scheme val="minor"/>
    </font>
    <font>
      <b/>
      <sz val="11"/>
      <color rgb="FFC00000"/>
      <name val="Arial"/>
      <family val="2"/>
      <scheme val="minor"/>
    </font>
    <font>
      <sz val="18"/>
      <color theme="1"/>
      <name val="Arial"/>
      <family val="2"/>
      <scheme val="major"/>
    </font>
    <font>
      <sz val="12"/>
      <color theme="1"/>
      <name val="Arial"/>
      <family val="2"/>
      <scheme val="major"/>
    </font>
    <font>
      <b/>
      <u/>
      <sz val="14"/>
      <color theme="1"/>
      <name val="Arial"/>
      <family val="2"/>
      <scheme val="minor"/>
    </font>
    <font>
      <b/>
      <u/>
      <sz val="22"/>
      <color theme="1"/>
      <name val="Arial"/>
      <family val="2"/>
      <scheme val="major"/>
    </font>
    <font>
      <i/>
      <sz val="14"/>
      <color rgb="FF000000"/>
      <name val="Arial"/>
      <family val="2"/>
      <scheme val="major"/>
    </font>
    <font>
      <b/>
      <sz val="22"/>
      <color theme="1"/>
      <name val="Arial"/>
      <family val="2"/>
      <scheme val="major"/>
    </font>
    <font>
      <b/>
      <u/>
      <sz val="14"/>
      <color rgb="FF000000"/>
      <name val="Arial"/>
      <family val="2"/>
      <scheme val="major"/>
    </font>
    <font>
      <sz val="11"/>
      <color rgb="FF00B050"/>
      <name val="Arial"/>
      <family val="2"/>
      <scheme val="major"/>
    </font>
    <font>
      <sz val="11"/>
      <color theme="1"/>
      <name val="Arial"/>
      <family val="2"/>
      <scheme val="major"/>
    </font>
    <font>
      <b/>
      <i/>
      <sz val="10"/>
      <color theme="1"/>
      <name val="Arial"/>
      <family val="2"/>
      <scheme val="major"/>
    </font>
    <font>
      <b/>
      <u/>
      <sz val="14"/>
      <color theme="1"/>
      <name val="Arial"/>
      <family val="2"/>
      <scheme val="major"/>
    </font>
    <font>
      <sz val="11"/>
      <color rgb="FF000000"/>
      <name val="Arial"/>
      <family val="2"/>
      <scheme val="major"/>
    </font>
    <font>
      <b/>
      <sz val="11"/>
      <color rgb="FF000000"/>
      <name val="Arial"/>
      <family val="2"/>
      <scheme val="major"/>
    </font>
    <font>
      <b/>
      <sz val="11"/>
      <color theme="1"/>
      <name val="Arial"/>
      <family val="2"/>
      <scheme val="major"/>
    </font>
    <font>
      <i/>
      <u/>
      <sz val="11"/>
      <color theme="10"/>
      <name val="Arial"/>
      <family val="2"/>
      <scheme val="major"/>
    </font>
    <font>
      <b/>
      <sz val="13.5"/>
      <color theme="1"/>
      <name val="Arial"/>
      <family val="2"/>
      <scheme val="major"/>
    </font>
    <font>
      <u/>
      <sz val="12"/>
      <color theme="10"/>
      <name val="Arial"/>
      <family val="2"/>
      <scheme val="major"/>
    </font>
    <font>
      <b/>
      <sz val="10"/>
      <color theme="1"/>
      <name val="Arial"/>
      <family val="2"/>
      <scheme val="major"/>
    </font>
    <font>
      <sz val="10"/>
      <color theme="1"/>
      <name val="Arial"/>
      <family val="2"/>
      <scheme val="major"/>
    </font>
    <font>
      <b/>
      <sz val="12"/>
      <color theme="1"/>
      <name val="Arial"/>
      <family val="2"/>
      <scheme val="major"/>
    </font>
    <font>
      <b/>
      <u/>
      <sz val="14"/>
      <name val="Arial"/>
      <family val="2"/>
      <scheme val="major"/>
    </font>
    <font>
      <i/>
      <sz val="11"/>
      <name val="Arial"/>
      <family val="2"/>
      <scheme val="major"/>
    </font>
    <font>
      <b/>
      <sz val="11"/>
      <name val="Arial"/>
      <family val="2"/>
      <scheme val="major"/>
    </font>
    <font>
      <u/>
      <sz val="11"/>
      <color theme="10"/>
      <name val="Arial"/>
      <family val="2"/>
      <scheme val="major"/>
    </font>
    <font>
      <i/>
      <sz val="11"/>
      <color rgb="FF000000"/>
      <name val="Arial"/>
      <family val="2"/>
      <scheme val="major"/>
    </font>
    <font>
      <sz val="14"/>
      <color theme="1"/>
      <name val="Arial"/>
      <family val="2"/>
      <scheme val="major"/>
    </font>
    <font>
      <b/>
      <sz val="11"/>
      <color rgb="FFFFFFFF"/>
      <name val="Arial"/>
      <family val="2"/>
      <scheme val="major"/>
    </font>
    <font>
      <u/>
      <sz val="11"/>
      <color theme="1"/>
      <name val="Arial"/>
      <family val="2"/>
      <scheme val="major"/>
    </font>
    <font>
      <i/>
      <sz val="11"/>
      <color theme="1"/>
      <name val="Arial"/>
      <family val="2"/>
      <scheme val="major"/>
    </font>
    <font>
      <b/>
      <sz val="11"/>
      <color rgb="FF00B050"/>
      <name val="Arial"/>
      <family val="2"/>
      <scheme val="major"/>
    </font>
    <font>
      <sz val="12"/>
      <color rgb="FF006100"/>
      <name val="Arial"/>
      <family val="2"/>
      <scheme val="major"/>
    </font>
    <font>
      <sz val="12"/>
      <color rgb="FF000000"/>
      <name val="Arial"/>
      <family val="2"/>
      <scheme val="major"/>
    </font>
    <font>
      <i/>
      <sz val="12"/>
      <color theme="1"/>
      <name val="Arial"/>
      <family val="2"/>
      <scheme val="major"/>
    </font>
    <font>
      <sz val="11"/>
      <color rgb="FFFF0000"/>
      <name val="Arial"/>
      <family val="2"/>
      <scheme val="major"/>
    </font>
    <font>
      <sz val="11"/>
      <color rgb="FF313131"/>
      <name val="Arial"/>
      <family val="2"/>
      <scheme val="major"/>
    </font>
  </fonts>
  <fills count="21">
    <fill>
      <patternFill patternType="none"/>
    </fill>
    <fill>
      <patternFill patternType="gray125"/>
    </fill>
    <fill>
      <patternFill patternType="solid">
        <fgColor rgb="FFB8CCE4"/>
        <bgColor rgb="FFB8CCE4"/>
      </patternFill>
    </fill>
    <fill>
      <patternFill patternType="solid">
        <fgColor rgb="FFD8D8D8"/>
        <bgColor rgb="FFD8D8D8"/>
      </patternFill>
    </fill>
    <fill>
      <patternFill patternType="solid">
        <fgColor rgb="FFFFFFFF"/>
        <bgColor rgb="FFFFFFFF"/>
      </patternFill>
    </fill>
    <fill>
      <patternFill patternType="solid">
        <fgColor rgb="FFFEFFB4"/>
        <bgColor rgb="FFFEFFB4"/>
      </patternFill>
    </fill>
    <fill>
      <patternFill patternType="solid">
        <fgColor rgb="FF00FF00"/>
        <bgColor rgb="FF00FF00"/>
      </patternFill>
    </fill>
    <fill>
      <patternFill patternType="solid">
        <fgColor rgb="FFFFF2CC"/>
        <bgColor rgb="FFFFF2CC"/>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EFCE"/>
        <bgColor indexed="64"/>
      </patternFill>
    </fill>
    <fill>
      <patternFill patternType="solid">
        <fgColor rgb="FFF2F2F2"/>
        <bgColor indexed="64"/>
      </patternFill>
    </fill>
    <fill>
      <patternFill patternType="solid">
        <fgColor rgb="FF4472C4"/>
        <bgColor indexed="64"/>
      </patternFill>
    </fill>
    <fill>
      <patternFill patternType="solid">
        <fgColor rgb="FFFFFF99"/>
        <bgColor indexed="64"/>
      </patternFill>
    </fill>
    <fill>
      <patternFill patternType="solid">
        <fgColor rgb="FF7F7F7F"/>
        <bgColor indexed="64"/>
      </patternFill>
    </fill>
    <fill>
      <patternFill patternType="solid">
        <fgColor rgb="FFE2EFDA"/>
        <bgColor indexed="64"/>
      </patternFill>
    </fill>
    <fill>
      <patternFill patternType="solid">
        <fgColor rgb="FFDDEBF7"/>
        <bgColor indexed="64"/>
      </patternFill>
    </fill>
    <fill>
      <patternFill patternType="solid">
        <fgColor theme="9" tint="0.59999389629810485"/>
        <bgColor rgb="FFFBD4B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0"/>
        <bgColor indexed="64"/>
      </patternFill>
    </fill>
  </fills>
  <borders count="19">
    <border>
      <left/>
      <right/>
      <top/>
      <bottom/>
      <diagonal/>
    </border>
    <border>
      <left/>
      <right/>
      <top/>
      <bottom/>
      <diagonal/>
    </border>
    <border>
      <left/>
      <right/>
      <top/>
      <bottom style="thin">
        <color rgb="FFD4D4D4"/>
      </bottom>
      <diagonal/>
    </border>
    <border>
      <left/>
      <right/>
      <top style="thin">
        <color rgb="FFD4D4D4"/>
      </top>
      <bottom style="thin">
        <color rgb="FFD4D4D4"/>
      </bottom>
      <diagonal/>
    </border>
    <border>
      <left/>
      <right style="thin">
        <color rgb="FFD4D4D4"/>
      </right>
      <top/>
      <bottom/>
      <diagonal/>
    </border>
    <border>
      <left style="medium">
        <color rgb="FF000000"/>
      </left>
      <right style="medium">
        <color rgb="FF000000"/>
      </right>
      <top style="medium">
        <color rgb="FF000000"/>
      </top>
      <bottom style="medium">
        <color rgb="FF000000"/>
      </bottom>
      <diagonal/>
    </border>
    <border>
      <left style="medium">
        <color theme="1"/>
      </left>
      <right style="medium">
        <color theme="1"/>
      </right>
      <top style="thin">
        <color rgb="FFD4D4D4"/>
      </top>
      <bottom style="thin">
        <color rgb="FFD4D4D4"/>
      </bottom>
      <diagonal/>
    </border>
    <border>
      <left/>
      <right/>
      <top/>
      <bottom style="medium">
        <color theme="1"/>
      </bottom>
      <diagonal/>
    </border>
    <border>
      <left style="medium">
        <color theme="1"/>
      </left>
      <right style="medium">
        <color theme="1"/>
      </right>
      <top style="medium">
        <color theme="1"/>
      </top>
      <bottom style="thin">
        <color rgb="FFD4D4D4"/>
      </bottom>
      <diagonal/>
    </border>
    <border>
      <left style="thin">
        <color rgb="FFD4D4D4"/>
      </left>
      <right style="thin">
        <color rgb="FFD4D4D4"/>
      </right>
      <top style="thin">
        <color rgb="FFD4D4D4"/>
      </top>
      <bottom style="thin">
        <color rgb="FFD4D4D4"/>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ck">
        <color rgb="FFFF0000"/>
      </left>
      <right style="thick">
        <color rgb="FFFF0000"/>
      </right>
      <top style="thick">
        <color rgb="FFFF0000"/>
      </top>
      <bottom style="thick">
        <color rgb="FFFF0000"/>
      </bottom>
      <diagonal/>
    </border>
  </borders>
  <cellStyleXfs count="7">
    <xf numFmtId="0" fontId="0" fillId="0" borderId="0"/>
    <xf numFmtId="9" fontId="14" fillId="0" borderId="0" applyFont="0" applyFill="0" applyBorder="0" applyAlignment="0" applyProtection="0"/>
    <xf numFmtId="0" fontId="16" fillId="0" borderId="0" applyNumberFormat="0" applyFill="0" applyBorder="0" applyAlignment="0" applyProtection="0"/>
    <xf numFmtId="0" fontId="13" fillId="0" borderId="1"/>
    <xf numFmtId="165" fontId="13" fillId="0" borderId="1" applyFont="0" applyFill="0" applyBorder="0" applyAlignment="0" applyProtection="0"/>
    <xf numFmtId="9" fontId="13" fillId="0" borderId="1" applyFont="0" applyFill="0" applyBorder="0" applyAlignment="0" applyProtection="0"/>
    <xf numFmtId="0" fontId="36" fillId="0" borderId="1" applyNumberFormat="0" applyFill="0" applyBorder="0" applyAlignment="0" applyProtection="0"/>
  </cellStyleXfs>
  <cellXfs count="218">
    <xf numFmtId="0" fontId="0" fillId="0" borderId="0" xfId="0"/>
    <xf numFmtId="0" fontId="4" fillId="2" borderId="1" xfId="0" applyFont="1" applyFill="1" applyBorder="1" applyAlignment="1">
      <alignment vertical="center"/>
    </xf>
    <xf numFmtId="0" fontId="5" fillId="0" borderId="0" xfId="0" applyFont="1"/>
    <xf numFmtId="0" fontId="6" fillId="0" borderId="0" xfId="0" applyFont="1"/>
    <xf numFmtId="166" fontId="5" fillId="0" borderId="0" xfId="0" applyNumberFormat="1" applyFont="1"/>
    <xf numFmtId="0" fontId="8" fillId="0" borderId="0" xfId="0" applyFont="1"/>
    <xf numFmtId="0" fontId="6" fillId="0" borderId="0" xfId="0" applyFont="1" applyAlignment="1">
      <alignment horizontal="right"/>
    </xf>
    <xf numFmtId="0" fontId="6" fillId="0" borderId="0" xfId="0" applyFont="1" applyAlignment="1">
      <alignment horizontal="center"/>
    </xf>
    <xf numFmtId="0" fontId="10" fillId="0" borderId="0" xfId="0" applyFont="1"/>
    <xf numFmtId="166" fontId="11" fillId="0" borderId="0" xfId="0" applyNumberFormat="1" applyFont="1"/>
    <xf numFmtId="10" fontId="5" fillId="0" borderId="0" xfId="0" applyNumberFormat="1" applyFont="1"/>
    <xf numFmtId="0" fontId="10" fillId="0" borderId="0" xfId="0" applyFont="1" applyAlignment="1">
      <alignment horizontal="center"/>
    </xf>
    <xf numFmtId="0" fontId="6" fillId="0" borderId="8" xfId="0" applyFont="1" applyBorder="1" applyAlignment="1">
      <alignment horizontal="right"/>
    </xf>
    <xf numFmtId="166" fontId="5" fillId="6" borderId="0" xfId="0" applyNumberFormat="1" applyFont="1" applyFill="1"/>
    <xf numFmtId="167" fontId="5" fillId="0" borderId="6" xfId="0" applyNumberFormat="1" applyFont="1" applyBorder="1"/>
    <xf numFmtId="0" fontId="12" fillId="0" borderId="0" xfId="0" applyFont="1"/>
    <xf numFmtId="0" fontId="4" fillId="5" borderId="1" xfId="0" applyFont="1" applyFill="1" applyBorder="1" applyAlignment="1">
      <alignment horizontal="left"/>
    </xf>
    <xf numFmtId="0" fontId="4" fillId="5" borderId="1" xfId="0" applyFont="1" applyFill="1" applyBorder="1" applyAlignment="1">
      <alignment horizontal="left" vertical="top"/>
    </xf>
    <xf numFmtId="0" fontId="6" fillId="6" borderId="0" xfId="0" applyFont="1" applyFill="1" applyAlignment="1">
      <alignment horizontal="center"/>
    </xf>
    <xf numFmtId="169" fontId="8" fillId="6" borderId="0" xfId="0" applyNumberFormat="1" applyFont="1" applyFill="1"/>
    <xf numFmtId="166" fontId="8" fillId="0" borderId="0" xfId="0" applyNumberFormat="1" applyFont="1"/>
    <xf numFmtId="0" fontId="0" fillId="0" borderId="0" xfId="0" applyAlignment="1">
      <alignment vertical="center"/>
    </xf>
    <xf numFmtId="0" fontId="3" fillId="0" borderId="0" xfId="0" applyFont="1"/>
    <xf numFmtId="0" fontId="18" fillId="0" borderId="0" xfId="0" applyFont="1"/>
    <xf numFmtId="0" fontId="20" fillId="0" borderId="2" xfId="0" applyFont="1" applyBorder="1"/>
    <xf numFmtId="0" fontId="20" fillId="0" borderId="0" xfId="0" applyFont="1"/>
    <xf numFmtId="0" fontId="20" fillId="0" borderId="4" xfId="0" applyFont="1" applyBorder="1" applyAlignment="1">
      <alignment horizontal="right"/>
    </xf>
    <xf numFmtId="166" fontId="20" fillId="5" borderId="9" xfId="0" applyNumberFormat="1" applyFont="1" applyFill="1" applyBorder="1" applyAlignment="1">
      <alignment horizontal="left"/>
    </xf>
    <xf numFmtId="166" fontId="20" fillId="5" borderId="9" xfId="0" applyNumberFormat="1" applyFont="1" applyFill="1" applyBorder="1"/>
    <xf numFmtId="166" fontId="20" fillId="0" borderId="0" xfId="0" applyNumberFormat="1" applyFont="1"/>
    <xf numFmtId="166" fontId="20" fillId="0" borderId="0" xfId="0" applyNumberFormat="1" applyFont="1" applyAlignment="1">
      <alignment horizontal="right"/>
    </xf>
    <xf numFmtId="0" fontId="18" fillId="0" borderId="0" xfId="0" applyFont="1" applyAlignment="1">
      <alignment vertical="center"/>
    </xf>
    <xf numFmtId="0" fontId="20" fillId="7" borderId="0" xfId="0" applyFont="1" applyFill="1" applyAlignment="1">
      <alignment horizontal="right"/>
    </xf>
    <xf numFmtId="0" fontId="20" fillId="0" borderId="0" xfId="0" applyFont="1" applyAlignment="1">
      <alignment horizontal="right"/>
    </xf>
    <xf numFmtId="166" fontId="20" fillId="5" borderId="5" xfId="0" applyNumberFormat="1" applyFont="1" applyFill="1" applyBorder="1" applyAlignment="1">
      <alignment vertical="center"/>
    </xf>
    <xf numFmtId="0" fontId="20" fillId="0" borderId="0" xfId="0" applyFont="1" applyAlignment="1">
      <alignment vertical="center"/>
    </xf>
    <xf numFmtId="0" fontId="21" fillId="3" borderId="0" xfId="0" applyFont="1" applyFill="1"/>
    <xf numFmtId="0" fontId="18" fillId="3" borderId="0" xfId="0" applyFont="1" applyFill="1"/>
    <xf numFmtId="0" fontId="22" fillId="3" borderId="0" xfId="0" applyFont="1" applyFill="1"/>
    <xf numFmtId="44" fontId="20" fillId="0" borderId="0" xfId="0" applyNumberFormat="1" applyFont="1"/>
    <xf numFmtId="0" fontId="23" fillId="0" borderId="0" xfId="0" applyFont="1"/>
    <xf numFmtId="0" fontId="24" fillId="0" borderId="0" xfId="0" applyFont="1"/>
    <xf numFmtId="0" fontId="27" fillId="5" borderId="0" xfId="0" applyFont="1" applyFill="1" applyAlignment="1">
      <alignment vertical="center"/>
    </xf>
    <xf numFmtId="0" fontId="3" fillId="0" borderId="0" xfId="0" applyFont="1" applyAlignment="1">
      <alignment vertical="center"/>
    </xf>
    <xf numFmtId="0" fontId="19" fillId="0" borderId="0" xfId="0" applyFont="1" applyAlignment="1">
      <alignment vertical="center"/>
    </xf>
    <xf numFmtId="0" fontId="4" fillId="2" borderId="1" xfId="0" applyFont="1" applyFill="1" applyBorder="1" applyAlignment="1">
      <alignment horizontal="left" vertical="center"/>
    </xf>
    <xf numFmtId="0" fontId="25" fillId="0" borderId="0" xfId="0" applyFont="1" applyAlignment="1">
      <alignment horizontal="center" vertical="center"/>
    </xf>
    <xf numFmtId="0" fontId="26" fillId="0" borderId="0" xfId="0" applyFont="1" applyAlignment="1">
      <alignment vertical="center"/>
    </xf>
    <xf numFmtId="0" fontId="17" fillId="0" borderId="0" xfId="0" applyFont="1" applyAlignment="1">
      <alignment vertical="center"/>
    </xf>
    <xf numFmtId="0" fontId="28" fillId="0" borderId="0" xfId="0" applyFont="1"/>
    <xf numFmtId="0" fontId="34" fillId="4" borderId="0" xfId="0" applyFont="1" applyFill="1"/>
    <xf numFmtId="0" fontId="2" fillId="0" borderId="0" xfId="0" applyFont="1"/>
    <xf numFmtId="0" fontId="17" fillId="0" borderId="0" xfId="0" applyFont="1"/>
    <xf numFmtId="0" fontId="17" fillId="11" borderId="12" xfId="0" applyFont="1" applyFill="1" applyBorder="1"/>
    <xf numFmtId="0" fontId="17" fillId="11" borderId="1" xfId="0" applyFont="1" applyFill="1" applyBorder="1"/>
    <xf numFmtId="0" fontId="39" fillId="12" borderId="0" xfId="0" applyFont="1" applyFill="1"/>
    <xf numFmtId="10" fontId="17" fillId="13" borderId="18" xfId="0" applyNumberFormat="1" applyFont="1" applyFill="1" applyBorder="1"/>
    <xf numFmtId="0" fontId="40" fillId="0" borderId="0" xfId="0" applyFont="1"/>
    <xf numFmtId="0" fontId="37" fillId="0" borderId="0" xfId="0" applyFont="1"/>
    <xf numFmtId="10" fontId="37" fillId="0" borderId="0" xfId="0" applyNumberFormat="1" applyFont="1"/>
    <xf numFmtId="0" fontId="27" fillId="0" borderId="0" xfId="0" applyFont="1"/>
    <xf numFmtId="0" fontId="39" fillId="14" borderId="0" xfId="0" applyFont="1" applyFill="1"/>
    <xf numFmtId="0" fontId="38" fillId="0" borderId="0" xfId="0" applyFont="1" applyAlignment="1">
      <alignment horizontal="center"/>
    </xf>
    <xf numFmtId="0" fontId="42" fillId="0" borderId="0" xfId="0" applyFont="1" applyAlignment="1">
      <alignment horizontal="left" vertical="center"/>
    </xf>
    <xf numFmtId="0" fontId="1" fillId="0" borderId="0" xfId="0" applyFont="1"/>
    <xf numFmtId="0" fontId="1" fillId="0" borderId="0" xfId="0" applyFont="1" applyAlignment="1">
      <alignment wrapText="1"/>
    </xf>
    <xf numFmtId="0" fontId="1" fillId="0" borderId="0" xfId="0" applyFont="1" applyAlignment="1">
      <alignment vertical="center"/>
    </xf>
    <xf numFmtId="0" fontId="41" fillId="9" borderId="0" xfId="0" applyFont="1" applyFill="1" applyAlignment="1">
      <alignment horizontal="left" vertical="center"/>
    </xf>
    <xf numFmtId="0" fontId="42" fillId="9" borderId="0" xfId="0" applyFont="1" applyFill="1" applyAlignment="1">
      <alignment horizontal="left" vertical="center"/>
    </xf>
    <xf numFmtId="0" fontId="47" fillId="9" borderId="0" xfId="0" applyFont="1" applyFill="1" applyAlignment="1">
      <alignment horizontal="left" vertical="center"/>
    </xf>
    <xf numFmtId="167" fontId="1" fillId="5" borderId="0" xfId="0" applyNumberFormat="1" applyFont="1" applyFill="1" applyAlignment="1">
      <alignment vertical="center"/>
    </xf>
    <xf numFmtId="167" fontId="1" fillId="5" borderId="5" xfId="0" applyNumberFormat="1" applyFont="1" applyFill="1" applyBorder="1" applyAlignment="1">
      <alignment vertical="center"/>
    </xf>
    <xf numFmtId="0" fontId="1" fillId="11" borderId="11" xfId="0" applyFont="1" applyFill="1" applyBorder="1"/>
    <xf numFmtId="0" fontId="1" fillId="11" borderId="13" xfId="0" applyFont="1" applyFill="1" applyBorder="1"/>
    <xf numFmtId="0" fontId="1" fillId="11" borderId="1" xfId="0" applyFont="1" applyFill="1" applyBorder="1"/>
    <xf numFmtId="0" fontId="1" fillId="11" borderId="14" xfId="0" applyFont="1" applyFill="1" applyBorder="1"/>
    <xf numFmtId="0" fontId="1" fillId="11" borderId="10" xfId="0" applyFont="1" applyFill="1" applyBorder="1"/>
    <xf numFmtId="171" fontId="1" fillId="0" borderId="0" xfId="0" applyNumberFormat="1" applyFont="1"/>
    <xf numFmtId="168" fontId="1" fillId="0" borderId="0" xfId="0" applyNumberFormat="1" applyFont="1"/>
    <xf numFmtId="0" fontId="1" fillId="16" borderId="0" xfId="0" applyFont="1" applyFill="1"/>
    <xf numFmtId="168" fontId="1" fillId="16" borderId="0" xfId="0" applyNumberFormat="1" applyFont="1" applyFill="1"/>
    <xf numFmtId="170" fontId="1" fillId="0" borderId="0" xfId="0" applyNumberFormat="1" applyFont="1"/>
    <xf numFmtId="9" fontId="1" fillId="0" borderId="0" xfId="0" applyNumberFormat="1" applyFont="1"/>
    <xf numFmtId="0" fontId="49" fillId="0" borderId="0" xfId="0" applyFont="1" applyAlignment="1">
      <alignment horizontal="left" vertical="center"/>
    </xf>
    <xf numFmtId="0" fontId="42" fillId="0" borderId="0" xfId="0" applyFont="1"/>
    <xf numFmtId="0" fontId="50" fillId="8" borderId="0" xfId="0" applyFont="1" applyFill="1" applyAlignment="1">
      <alignment horizontal="center" vertical="center"/>
    </xf>
    <xf numFmtId="0" fontId="50" fillId="0" borderId="0" xfId="0" applyFont="1" applyAlignment="1">
      <alignment horizontal="center"/>
    </xf>
    <xf numFmtId="0" fontId="51" fillId="9" borderId="0" xfId="0" applyFont="1" applyFill="1" applyAlignment="1">
      <alignment horizontal="left" vertical="center"/>
    </xf>
    <xf numFmtId="0" fontId="49" fillId="0" borderId="0" xfId="0" applyFont="1"/>
    <xf numFmtId="0" fontId="52" fillId="0" borderId="0" xfId="0" applyFont="1"/>
    <xf numFmtId="0" fontId="49" fillId="0" borderId="0" xfId="0" applyFont="1" applyAlignment="1">
      <alignment horizontal="center"/>
    </xf>
    <xf numFmtId="0" fontId="49" fillId="0" borderId="0" xfId="0" applyFont="1" applyAlignment="1">
      <alignment horizontal="left" vertical="center" wrapText="1"/>
    </xf>
    <xf numFmtId="0" fontId="49" fillId="0" borderId="0" xfId="0" applyFont="1" applyAlignment="1">
      <alignment wrapText="1"/>
    </xf>
    <xf numFmtId="0" fontId="49" fillId="0" borderId="0" xfId="0" applyFont="1" applyAlignment="1">
      <alignment vertical="center"/>
    </xf>
    <xf numFmtId="0" fontId="55" fillId="0" borderId="0" xfId="2" applyFont="1" applyAlignment="1">
      <alignment vertical="center"/>
    </xf>
    <xf numFmtId="0" fontId="56" fillId="0" borderId="0" xfId="0" applyFont="1" applyAlignment="1">
      <alignment vertical="center"/>
    </xf>
    <xf numFmtId="0" fontId="57" fillId="0" borderId="0" xfId="2" applyFont="1"/>
    <xf numFmtId="0" fontId="42"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42" fillId="0" borderId="0" xfId="0" applyFont="1" applyAlignment="1">
      <alignment horizontal="left" vertical="center" indent="1"/>
    </xf>
    <xf numFmtId="0" fontId="60" fillId="0" borderId="0" xfId="0" applyFont="1" applyAlignment="1">
      <alignment horizontal="left" vertical="center" indent="1"/>
    </xf>
    <xf numFmtId="0" fontId="59" fillId="0" borderId="0" xfId="0" applyFont="1" applyAlignment="1">
      <alignment horizontal="left" vertical="center" indent="1"/>
    </xf>
    <xf numFmtId="0" fontId="61" fillId="9" borderId="0" xfId="0" applyFont="1" applyFill="1" applyAlignment="1">
      <alignment horizontal="left" vertical="center" wrapText="1"/>
    </xf>
    <xf numFmtId="0" fontId="62" fillId="0" borderId="0" xfId="0" applyFont="1" applyAlignment="1">
      <alignment vertical="center" wrapText="1"/>
    </xf>
    <xf numFmtId="0" fontId="63" fillId="0" borderId="0" xfId="0" applyFont="1" applyAlignment="1">
      <alignment horizontal="left" vertical="center" wrapText="1"/>
    </xf>
    <xf numFmtId="0" fontId="64" fillId="0" borderId="0" xfId="2" applyFont="1" applyFill="1" applyAlignment="1">
      <alignment vertical="center" wrapText="1"/>
    </xf>
    <xf numFmtId="0" fontId="63" fillId="0" borderId="0" xfId="0" applyFont="1" applyAlignment="1">
      <alignment vertical="center" wrapText="1"/>
    </xf>
    <xf numFmtId="0" fontId="49" fillId="0" borderId="0" xfId="0" applyFont="1" applyAlignment="1">
      <alignment vertical="center" wrapText="1"/>
    </xf>
    <xf numFmtId="0" fontId="64" fillId="0" borderId="0" xfId="2" applyFont="1" applyAlignment="1">
      <alignment vertical="top" wrapText="1"/>
    </xf>
    <xf numFmtId="0" fontId="49" fillId="0" borderId="0" xfId="0" applyFont="1" applyAlignment="1">
      <alignment vertical="top"/>
    </xf>
    <xf numFmtId="0" fontId="64" fillId="0" borderId="0" xfId="2" applyFont="1" applyAlignment="1">
      <alignment vertical="center" wrapText="1"/>
    </xf>
    <xf numFmtId="0" fontId="65" fillId="0" borderId="0" xfId="0" applyFont="1" applyAlignment="1">
      <alignment vertical="center" wrapText="1"/>
    </xf>
    <xf numFmtId="0" fontId="66" fillId="0" borderId="0" xfId="0" applyFont="1"/>
    <xf numFmtId="0" fontId="67" fillId="12" borderId="0" xfId="0" applyFont="1" applyFill="1"/>
    <xf numFmtId="0" fontId="67" fillId="12" borderId="0" xfId="0" applyFont="1" applyFill="1" applyAlignment="1">
      <alignment horizontal="center"/>
    </xf>
    <xf numFmtId="0" fontId="67" fillId="12" borderId="0" xfId="0" applyFont="1" applyFill="1" applyAlignment="1">
      <alignment horizontal="center" wrapText="1"/>
    </xf>
    <xf numFmtId="164" fontId="52" fillId="0" borderId="0" xfId="0" applyNumberFormat="1" applyFont="1"/>
    <xf numFmtId="9" fontId="52" fillId="0" borderId="0" xfId="1" applyFont="1" applyFill="1"/>
    <xf numFmtId="0" fontId="64" fillId="0" borderId="0" xfId="2" applyFont="1"/>
    <xf numFmtId="0" fontId="65" fillId="0" borderId="0" xfId="0" applyFont="1"/>
    <xf numFmtId="0" fontId="60" fillId="0" borderId="0" xfId="0" applyFont="1"/>
    <xf numFmtId="0" fontId="50" fillId="0" borderId="0" xfId="0" applyFont="1"/>
    <xf numFmtId="0" fontId="42" fillId="9" borderId="0" xfId="0" applyFont="1" applyFill="1"/>
    <xf numFmtId="168" fontId="49" fillId="0" borderId="0" xfId="0" applyNumberFormat="1" applyFont="1" applyAlignment="1">
      <alignment vertical="center"/>
    </xf>
    <xf numFmtId="0" fontId="54" fillId="15" borderId="0" xfId="0" applyFont="1" applyFill="1" applyAlignment="1">
      <alignment vertical="center"/>
    </xf>
    <xf numFmtId="168" fontId="49" fillId="15" borderId="0" xfId="0" applyNumberFormat="1" applyFont="1" applyFill="1" applyAlignment="1">
      <alignment vertical="center"/>
    </xf>
    <xf numFmtId="0" fontId="69" fillId="0" borderId="0" xfId="0" applyFont="1" applyAlignment="1">
      <alignment horizontal="right" vertical="center"/>
    </xf>
    <xf numFmtId="0" fontId="69" fillId="0" borderId="0" xfId="0" applyFont="1"/>
    <xf numFmtId="0" fontId="54" fillId="15" borderId="12" xfId="0" applyFont="1" applyFill="1" applyBorder="1"/>
    <xf numFmtId="0" fontId="49" fillId="15" borderId="11" xfId="0" applyFont="1" applyFill="1" applyBorder="1"/>
    <xf numFmtId="0" fontId="49" fillId="19" borderId="11" xfId="0" applyFont="1" applyFill="1" applyBorder="1"/>
    <xf numFmtId="0" fontId="49" fillId="19" borderId="15" xfId="0" applyFont="1" applyFill="1" applyBorder="1"/>
    <xf numFmtId="0" fontId="42" fillId="0" borderId="1" xfId="0" applyFont="1" applyBorder="1" applyAlignment="1">
      <alignment vertical="center"/>
    </xf>
    <xf numFmtId="0" fontId="42" fillId="20" borderId="0" xfId="0" applyFont="1" applyFill="1" applyAlignment="1">
      <alignment vertical="center"/>
    </xf>
    <xf numFmtId="0" fontId="70" fillId="0" borderId="1" xfId="0" applyFont="1" applyBorder="1" applyAlignment="1">
      <alignment horizontal="left" vertical="center"/>
    </xf>
    <xf numFmtId="0" fontId="42" fillId="9" borderId="1" xfId="0" applyFont="1" applyFill="1" applyBorder="1" applyAlignment="1">
      <alignment vertical="center"/>
    </xf>
    <xf numFmtId="0" fontId="42" fillId="9" borderId="0" xfId="0" applyFont="1" applyFill="1" applyAlignment="1">
      <alignment vertical="center"/>
    </xf>
    <xf numFmtId="0" fontId="49" fillId="0" borderId="1" xfId="0" applyFont="1" applyBorder="1" applyAlignment="1">
      <alignment vertical="center"/>
    </xf>
    <xf numFmtId="167" fontId="49" fillId="0" borderId="1" xfId="0" applyNumberFormat="1" applyFont="1" applyBorder="1" applyAlignment="1">
      <alignment vertical="center"/>
    </xf>
    <xf numFmtId="0" fontId="72" fillId="8" borderId="1" xfId="0" applyFont="1" applyFill="1" applyBorder="1" applyAlignment="1">
      <alignment horizontal="right" vertical="center"/>
    </xf>
    <xf numFmtId="168" fontId="72" fillId="8" borderId="1" xfId="0" applyNumberFormat="1" applyFont="1" applyFill="1" applyBorder="1" applyAlignment="1" applyProtection="1">
      <alignment vertical="center"/>
      <protection hidden="1"/>
    </xf>
    <xf numFmtId="0" fontId="73" fillId="8" borderId="1" xfId="0" applyFont="1" applyFill="1" applyBorder="1" applyAlignment="1">
      <alignment horizontal="center" vertical="center"/>
    </xf>
    <xf numFmtId="168" fontId="42" fillId="8" borderId="1" xfId="0" applyNumberFormat="1" applyFont="1" applyFill="1" applyBorder="1" applyAlignment="1">
      <alignment horizontal="left" vertical="center"/>
    </xf>
    <xf numFmtId="0" fontId="42" fillId="8" borderId="0" xfId="0" applyFont="1" applyFill="1" applyAlignment="1">
      <alignment vertical="center"/>
    </xf>
    <xf numFmtId="0" fontId="42" fillId="8" borderId="1" xfId="0" applyFont="1" applyFill="1" applyBorder="1" applyAlignment="1">
      <alignment horizontal="right" vertical="center"/>
    </xf>
    <xf numFmtId="168" fontId="42" fillId="8" borderId="1" xfId="0" applyNumberFormat="1" applyFont="1" applyFill="1" applyBorder="1" applyAlignment="1" applyProtection="1">
      <alignment vertical="center"/>
      <protection hidden="1"/>
    </xf>
    <xf numFmtId="0" fontId="73" fillId="17" borderId="1" xfId="0" quotePrefix="1" applyFont="1" applyFill="1" applyBorder="1" applyAlignment="1">
      <alignment vertical="center"/>
    </xf>
    <xf numFmtId="0" fontId="42" fillId="18" borderId="1" xfId="0" applyFont="1" applyFill="1" applyBorder="1" applyAlignment="1">
      <alignment vertical="center"/>
    </xf>
    <xf numFmtId="0" fontId="42" fillId="18" borderId="0" xfId="0" applyFont="1" applyFill="1" applyAlignment="1">
      <alignment vertical="center"/>
    </xf>
    <xf numFmtId="0" fontId="69" fillId="0" borderId="1" xfId="0" quotePrefix="1" applyFont="1" applyBorder="1" applyAlignment="1">
      <alignment vertical="center"/>
    </xf>
    <xf numFmtId="0" fontId="49" fillId="0" borderId="1" xfId="0" applyFont="1" applyBorder="1" applyAlignment="1">
      <alignment horizontal="left" vertical="center"/>
    </xf>
    <xf numFmtId="0" fontId="49" fillId="18" borderId="1" xfId="0" applyFont="1" applyFill="1" applyBorder="1" applyAlignment="1">
      <alignment horizontal="left" vertical="center" wrapText="1"/>
    </xf>
    <xf numFmtId="0" fontId="53" fillId="0" borderId="1" xfId="0" applyFont="1" applyBorder="1" applyAlignment="1">
      <alignment horizontal="left" vertical="center"/>
    </xf>
    <xf numFmtId="0" fontId="52" fillId="0" borderId="1" xfId="0" applyFont="1" applyBorder="1" applyAlignment="1">
      <alignment horizontal="left" vertical="center"/>
    </xf>
    <xf numFmtId="0" fontId="53" fillId="0" borderId="1" xfId="0" applyFont="1" applyBorder="1" applyAlignment="1">
      <alignment horizontal="left" vertical="center" wrapText="1"/>
    </xf>
    <xf numFmtId="0" fontId="49" fillId="20" borderId="0" xfId="0" applyFont="1" applyFill="1" applyAlignment="1">
      <alignment horizontal="left" vertical="center"/>
    </xf>
    <xf numFmtId="0" fontId="53" fillId="0" borderId="0" xfId="0" applyFont="1" applyAlignment="1">
      <alignment horizontal="left" vertical="center"/>
    </xf>
    <xf numFmtId="166" fontId="52" fillId="0" borderId="0" xfId="0" applyNumberFormat="1" applyFont="1" applyAlignment="1">
      <alignment horizontal="left" vertical="center"/>
    </xf>
    <xf numFmtId="0" fontId="52" fillId="0" borderId="0" xfId="0" applyFont="1" applyAlignment="1">
      <alignment horizontal="left" vertical="center"/>
    </xf>
    <xf numFmtId="0" fontId="69" fillId="0" borderId="0" xfId="0" applyFont="1" applyAlignment="1">
      <alignment horizontal="left" vertical="center"/>
    </xf>
    <xf numFmtId="0" fontId="53" fillId="20" borderId="0" xfId="0" applyFont="1" applyFill="1" applyAlignment="1">
      <alignment horizontal="left" vertical="center"/>
    </xf>
    <xf numFmtId="0" fontId="65" fillId="20" borderId="0" xfId="0" applyFont="1" applyFill="1" applyAlignment="1">
      <alignment horizontal="left" vertical="center"/>
    </xf>
    <xf numFmtId="0" fontId="52" fillId="20" borderId="0" xfId="0" applyFont="1" applyFill="1" applyAlignment="1">
      <alignment horizontal="left" vertical="center"/>
    </xf>
    <xf numFmtId="0" fontId="71" fillId="10" borderId="12" xfId="0" applyFont="1" applyFill="1" applyBorder="1" applyAlignment="1">
      <alignment vertical="center"/>
    </xf>
    <xf numFmtId="0" fontId="71" fillId="10" borderId="13" xfId="0" applyFont="1" applyFill="1" applyBorder="1" applyAlignment="1">
      <alignment vertical="center"/>
    </xf>
    <xf numFmtId="0" fontId="71" fillId="10" borderId="14" xfId="0" applyFont="1" applyFill="1" applyBorder="1" applyAlignment="1">
      <alignment vertical="center"/>
    </xf>
    <xf numFmtId="168" fontId="42" fillId="3" borderId="1" xfId="0" applyNumberFormat="1" applyFont="1" applyFill="1" applyBorder="1" applyAlignment="1">
      <alignment horizontal="right" vertical="center" indent="6"/>
    </xf>
    <xf numFmtId="0" fontId="16" fillId="0" borderId="0" xfId="2" applyAlignment="1">
      <alignment vertical="center" wrapText="1"/>
    </xf>
    <xf numFmtId="0" fontId="16" fillId="0" borderId="0" xfId="2" applyFill="1" applyAlignment="1">
      <alignment vertical="center" wrapText="1"/>
    </xf>
    <xf numFmtId="0" fontId="52" fillId="18" borderId="1" xfId="0" applyFont="1" applyFill="1" applyBorder="1" applyAlignment="1">
      <alignment horizontal="left" vertical="center"/>
    </xf>
    <xf numFmtId="0" fontId="49" fillId="18" borderId="1" xfId="0" applyFont="1" applyFill="1" applyBorder="1" applyAlignment="1">
      <alignment horizontal="left" vertical="center"/>
    </xf>
    <xf numFmtId="0" fontId="48" fillId="0" borderId="3" xfId="0" applyFont="1" applyBorder="1" applyAlignment="1">
      <alignment horizontal="left" vertical="center"/>
    </xf>
    <xf numFmtId="0" fontId="54" fillId="18" borderId="1" xfId="0" applyFont="1" applyFill="1" applyBorder="1" applyAlignment="1">
      <alignment horizontal="left" vertical="center"/>
    </xf>
    <xf numFmtId="0" fontId="75" fillId="0" borderId="1" xfId="0" applyFont="1" applyBorder="1" applyAlignment="1">
      <alignment horizontal="left" vertical="center" wrapText="1"/>
    </xf>
    <xf numFmtId="0" fontId="75" fillId="4" borderId="1" xfId="0" applyFont="1" applyFill="1" applyBorder="1" applyAlignment="1">
      <alignment horizontal="left" vertical="center" wrapText="1"/>
    </xf>
    <xf numFmtId="0" fontId="53" fillId="18" borderId="1" xfId="0" applyFont="1" applyFill="1" applyBorder="1" applyAlignment="1">
      <alignment horizontal="left" vertical="center" wrapText="1" indent="1"/>
    </xf>
    <xf numFmtId="0" fontId="53" fillId="18" borderId="1" xfId="0" applyFont="1" applyFill="1" applyBorder="1" applyAlignment="1">
      <alignment horizontal="left" vertical="center" indent="1"/>
    </xf>
    <xf numFmtId="0" fontId="52" fillId="0" borderId="0" xfId="0" applyFont="1" applyAlignment="1">
      <alignment horizontal="left" vertical="center" wrapText="1"/>
    </xf>
    <xf numFmtId="0" fontId="55" fillId="0" borderId="0" xfId="2" applyFont="1" applyAlignment="1">
      <alignment horizontal="left" vertical="center"/>
    </xf>
    <xf numFmtId="0" fontId="69" fillId="0" borderId="0" xfId="0" applyFont="1" applyAlignment="1">
      <alignment horizontal="left" vertical="center"/>
    </xf>
    <xf numFmtId="0" fontId="52" fillId="20" borderId="0" xfId="0" applyFont="1" applyFill="1" applyAlignment="1">
      <alignment horizontal="left" vertical="center"/>
    </xf>
    <xf numFmtId="0" fontId="49" fillId="20" borderId="0" xfId="0" applyFont="1" applyFill="1" applyAlignment="1">
      <alignment horizontal="left" vertical="center"/>
    </xf>
    <xf numFmtId="0" fontId="52" fillId="0" borderId="0" xfId="0" applyFont="1" applyAlignment="1">
      <alignment horizontal="left" vertical="center"/>
    </xf>
    <xf numFmtId="0" fontId="49" fillId="0" borderId="0" xfId="0" applyFont="1" applyAlignment="1">
      <alignment horizontal="left" vertical="center"/>
    </xf>
    <xf numFmtId="0" fontId="49" fillId="0" borderId="2" xfId="0" applyFont="1" applyBorder="1" applyAlignment="1">
      <alignment horizontal="left" vertical="center"/>
    </xf>
    <xf numFmtId="0" fontId="44" fillId="2" borderId="1" xfId="0" applyFont="1" applyFill="1" applyBorder="1" applyAlignment="1">
      <alignment horizontal="center" vertical="center"/>
    </xf>
    <xf numFmtId="0" fontId="51" fillId="9" borderId="1" xfId="0" applyFont="1" applyFill="1" applyBorder="1" applyAlignment="1">
      <alignment horizontal="center" vertical="center"/>
    </xf>
    <xf numFmtId="0" fontId="51" fillId="18" borderId="1" xfId="0" applyFont="1" applyFill="1" applyBorder="1" applyAlignment="1">
      <alignment horizontal="center" vertical="center"/>
    </xf>
    <xf numFmtId="0" fontId="51" fillId="8" borderId="1" xfId="0" applyFont="1" applyFill="1" applyBorder="1" applyAlignment="1">
      <alignment horizontal="center" vertical="center"/>
    </xf>
    <xf numFmtId="0" fontId="45" fillId="2" borderId="1" xfId="0" applyFont="1" applyFill="1" applyBorder="1" applyAlignment="1">
      <alignment horizontal="center" vertical="center"/>
    </xf>
    <xf numFmtId="0" fontId="46" fillId="2" borderId="1" xfId="0" applyFont="1" applyFill="1" applyBorder="1" applyAlignment="1">
      <alignment horizontal="center" vertical="center"/>
    </xf>
    <xf numFmtId="0" fontId="53" fillId="18" borderId="1" xfId="0" applyFont="1" applyFill="1" applyBorder="1" applyAlignment="1">
      <alignment horizontal="left" vertical="center"/>
    </xf>
    <xf numFmtId="0" fontId="52" fillId="18" borderId="1" xfId="0" applyFont="1" applyFill="1" applyBorder="1" applyAlignment="1">
      <alignment horizontal="left" vertical="center" wrapText="1"/>
    </xf>
    <xf numFmtId="0" fontId="49" fillId="18" borderId="1" xfId="0" applyFont="1" applyFill="1" applyBorder="1" applyAlignment="1">
      <alignment horizontal="left" vertical="center" wrapText="1"/>
    </xf>
    <xf numFmtId="0" fontId="69" fillId="18" borderId="1" xfId="0" applyFont="1" applyFill="1" applyBorder="1" applyAlignment="1">
      <alignment horizontal="left" vertical="center"/>
    </xf>
    <xf numFmtId="0" fontId="9" fillId="0" borderId="0" xfId="0" applyFont="1" applyAlignment="1">
      <alignment horizontal="center" vertical="center"/>
    </xf>
    <xf numFmtId="0" fontId="0" fillId="0" borderId="0" xfId="0" applyAlignment="1">
      <alignment vertical="center"/>
    </xf>
    <xf numFmtId="0" fontId="29" fillId="0" borderId="0" xfId="0" applyFont="1"/>
    <xf numFmtId="0" fontId="1" fillId="0" borderId="0" xfId="0" applyFont="1"/>
    <xf numFmtId="0" fontId="32" fillId="0" borderId="0" xfId="0" applyFont="1" applyAlignment="1">
      <alignment horizontal="center"/>
    </xf>
    <xf numFmtId="0" fontId="25" fillId="0" borderId="7" xfId="0" applyFont="1" applyBorder="1" applyAlignment="1">
      <alignment horizontal="center"/>
    </xf>
    <xf numFmtId="0" fontId="33" fillId="0" borderId="7" xfId="0" applyFont="1" applyBorder="1"/>
    <xf numFmtId="0" fontId="7" fillId="0" borderId="0" xfId="0" applyFont="1" applyAlignment="1">
      <alignment vertical="center" wrapText="1"/>
    </xf>
    <xf numFmtId="0" fontId="50" fillId="8" borderId="0" xfId="0" applyFont="1" applyFill="1" applyAlignment="1">
      <alignment horizontal="center" vertical="center"/>
    </xf>
    <xf numFmtId="0" fontId="54" fillId="0" borderId="0" xfId="0" applyFont="1" applyAlignment="1">
      <alignment vertical="center"/>
    </xf>
    <xf numFmtId="0" fontId="49" fillId="15" borderId="14" xfId="0" applyFont="1" applyFill="1" applyBorder="1"/>
    <xf numFmtId="0" fontId="49" fillId="15" borderId="10" xfId="0" applyFont="1" applyFill="1" applyBorder="1"/>
    <xf numFmtId="0" fontId="49" fillId="15" borderId="17" xfId="0" applyFont="1" applyFill="1" applyBorder="1"/>
    <xf numFmtId="0" fontId="49" fillId="15" borderId="13" xfId="0" applyFont="1" applyFill="1" applyBorder="1"/>
    <xf numFmtId="0" fontId="49" fillId="15" borderId="1" xfId="0" applyFont="1" applyFill="1" applyBorder="1"/>
    <xf numFmtId="0" fontId="49" fillId="15" borderId="16" xfId="0" applyFont="1" applyFill="1" applyBorder="1"/>
    <xf numFmtId="0" fontId="54" fillId="0" borderId="0" xfId="0" applyFont="1" applyAlignment="1">
      <alignment horizontal="center"/>
    </xf>
    <xf numFmtId="0" fontId="47" fillId="9" borderId="0" xfId="0" applyFont="1" applyFill="1" applyAlignment="1">
      <alignment horizontal="left" vertical="center"/>
    </xf>
    <xf numFmtId="0" fontId="49" fillId="0" borderId="0" xfId="0" applyFont="1" applyAlignment="1">
      <alignment horizontal="left" vertical="center" wrapText="1"/>
    </xf>
    <xf numFmtId="0" fontId="37" fillId="0" borderId="0" xfId="0" applyFont="1" applyAlignment="1">
      <alignment wrapText="1"/>
    </xf>
    <xf numFmtId="0" fontId="38" fillId="8" borderId="0" xfId="0" applyFont="1" applyFill="1" applyAlignment="1">
      <alignment horizontal="center" vertical="center"/>
    </xf>
    <xf numFmtId="0" fontId="43" fillId="9" borderId="0" xfId="0" applyFont="1" applyFill="1" applyAlignment="1">
      <alignment horizontal="left" vertical="center"/>
    </xf>
  </cellXfs>
  <cellStyles count="7">
    <cellStyle name="Currency 2" xfId="4" xr:uid="{1E082110-DD63-44C1-A34A-2A2F442FBBB8}"/>
    <cellStyle name="Hyperlink" xfId="2" builtinId="8"/>
    <cellStyle name="Hyperlink 2" xfId="6" xr:uid="{CDB228EE-EE2E-4799-8007-64324F50E799}"/>
    <cellStyle name="Normal" xfId="0" builtinId="0"/>
    <cellStyle name="Normal 2" xfId="3" xr:uid="{28836442-5990-462E-A657-AB74F85C1758}"/>
    <cellStyle name="Percent" xfId="1" builtinId="5"/>
    <cellStyle name="Percent 2" xfId="5" xr:uid="{6CBA8083-C766-4308-A76C-A5C49321C379}"/>
  </cellStyles>
  <dxfs count="39">
    <dxf>
      <font>
        <strike val="0"/>
        <outline val="0"/>
        <shadow val="0"/>
        <u val="none"/>
        <vertAlign val="baseline"/>
        <sz val="11"/>
        <name val="Arial"/>
        <scheme val="minor"/>
      </font>
      <fill>
        <patternFill patternType="none">
          <fgColor indexed="64"/>
          <bgColor rgb="FFE2EFDA"/>
        </patternFill>
      </fill>
    </dxf>
    <dxf>
      <font>
        <strike val="0"/>
        <outline val="0"/>
        <shadow val="0"/>
        <u val="none"/>
        <vertAlign val="baseline"/>
        <sz val="11"/>
        <name val="Arial"/>
        <scheme val="minor"/>
      </font>
      <numFmt numFmtId="168" formatCode="&quot;$&quot;#,##0"/>
      <fill>
        <patternFill patternType="none">
          <fgColor indexed="64"/>
          <bgColor rgb="FFE2EFDA"/>
        </patternFill>
      </fill>
    </dxf>
    <dxf>
      <font>
        <strike val="0"/>
        <outline val="0"/>
        <shadow val="0"/>
        <u val="none"/>
        <vertAlign val="baseline"/>
        <sz val="11"/>
        <name val="Arial"/>
        <scheme val="minor"/>
      </font>
      <numFmt numFmtId="168" formatCode="&quot;$&quot;#,##0"/>
      <fill>
        <patternFill patternType="none">
          <fgColor indexed="64"/>
          <bgColor rgb="FFE2EFDA"/>
        </patternFill>
      </fill>
    </dxf>
    <dxf>
      <font>
        <strike val="0"/>
        <outline val="0"/>
        <shadow val="0"/>
        <u val="none"/>
        <vertAlign val="baseline"/>
        <sz val="11"/>
        <name val="Arial"/>
        <scheme val="minor"/>
      </font>
      <numFmt numFmtId="168" formatCode="&quot;$&quot;#,##0"/>
      <fill>
        <patternFill patternType="none">
          <fgColor indexed="64"/>
          <bgColor rgb="FFE2EFDA"/>
        </patternFill>
      </fill>
    </dxf>
    <dxf>
      <font>
        <strike val="0"/>
        <outline val="0"/>
        <shadow val="0"/>
        <u val="none"/>
        <vertAlign val="baseline"/>
        <sz val="11"/>
        <name val="Arial"/>
        <scheme val="minor"/>
      </font>
      <fill>
        <patternFill patternType="none">
          <fgColor indexed="64"/>
          <bgColor rgb="FFE2EFDA"/>
        </patternFill>
      </fill>
    </dxf>
    <dxf>
      <font>
        <strike val="0"/>
        <outline val="0"/>
        <shadow val="0"/>
        <u val="none"/>
        <vertAlign val="baseline"/>
        <sz val="11"/>
        <name val="Arial"/>
        <scheme val="minor"/>
      </font>
      <fill>
        <patternFill patternType="none">
          <fgColor indexed="64"/>
          <bgColor rgb="FFE2EFDA"/>
        </patternFill>
      </fill>
    </dxf>
    <dxf>
      <font>
        <b/>
        <i val="0"/>
        <strike val="0"/>
        <condense val="0"/>
        <extend val="0"/>
        <outline val="0"/>
        <shadow val="0"/>
        <u val="none"/>
        <vertAlign val="baseline"/>
        <sz val="11"/>
        <color rgb="FFFFFFFF"/>
        <name val="Arial"/>
        <scheme val="minor"/>
      </font>
      <fill>
        <patternFill patternType="solid">
          <fgColor indexed="64"/>
          <bgColor rgb="FF4472C4"/>
        </patternFill>
      </fill>
    </dxf>
    <dxf>
      <font>
        <strike val="0"/>
        <outline val="0"/>
        <shadow val="0"/>
        <u val="none"/>
        <vertAlign val="baseline"/>
        <sz val="11"/>
        <name val="Arial"/>
        <scheme val="minor"/>
      </font>
    </dxf>
    <dxf>
      <font>
        <strike val="0"/>
        <outline val="0"/>
        <shadow val="0"/>
        <u val="none"/>
        <vertAlign val="baseline"/>
        <sz val="11"/>
        <name val="Arial"/>
        <scheme val="minor"/>
      </font>
      <numFmt numFmtId="13" formatCode="0%"/>
    </dxf>
    <dxf>
      <font>
        <strike val="0"/>
        <outline val="0"/>
        <shadow val="0"/>
        <u val="none"/>
        <vertAlign val="baseline"/>
        <sz val="11"/>
        <name val="Arial"/>
        <scheme val="minor"/>
      </font>
    </dxf>
    <dxf>
      <font>
        <strike val="0"/>
        <outline val="0"/>
        <shadow val="0"/>
        <u val="none"/>
        <vertAlign val="baseline"/>
        <sz val="11"/>
        <name val="Arial"/>
        <scheme val="minor"/>
      </font>
    </dxf>
    <dxf>
      <font>
        <b/>
        <i val="0"/>
        <strike val="0"/>
        <condense val="0"/>
        <extend val="0"/>
        <outline val="0"/>
        <shadow val="0"/>
        <u val="none"/>
        <vertAlign val="baseline"/>
        <sz val="11"/>
        <color rgb="FFFFFFFF"/>
        <name val="Arial"/>
        <scheme val="minor"/>
      </font>
      <fill>
        <patternFill patternType="solid">
          <fgColor indexed="64"/>
          <bgColor rgb="FF4472C4"/>
        </patternFill>
      </fill>
    </dxf>
    <dxf>
      <font>
        <strike val="0"/>
        <outline val="0"/>
        <shadow val="0"/>
        <u val="none"/>
        <vertAlign val="baseline"/>
        <sz val="11"/>
        <name val="Arial"/>
        <scheme val="minor"/>
      </font>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dxf>
    <dxf>
      <font>
        <strike val="0"/>
        <outline val="0"/>
        <shadow val="0"/>
        <u val="none"/>
        <vertAlign val="baseline"/>
        <sz val="11"/>
        <name val="Arial"/>
        <scheme val="minor"/>
      </font>
    </dxf>
    <dxf>
      <font>
        <b/>
        <i val="0"/>
        <strike val="0"/>
        <condense val="0"/>
        <extend val="0"/>
        <outline val="0"/>
        <shadow val="0"/>
        <u val="none"/>
        <vertAlign val="baseline"/>
        <sz val="11"/>
        <color rgb="FFFFFFFF"/>
        <name val="Arial"/>
        <scheme val="minor"/>
      </font>
      <fill>
        <patternFill patternType="solid">
          <fgColor indexed="64"/>
          <bgColor rgb="FF4472C4"/>
        </patternFill>
      </fill>
    </dxf>
    <dxf>
      <font>
        <strike val="0"/>
        <outline val="0"/>
        <shadow val="0"/>
        <u val="none"/>
        <vertAlign val="baseline"/>
        <sz val="11"/>
        <name val="Arial"/>
        <scheme val="minor"/>
      </font>
      <fill>
        <patternFill patternType="solid">
          <fgColor indexed="64"/>
          <bgColor rgb="FFDDEBF7"/>
        </patternFill>
      </fill>
    </dxf>
    <dxf>
      <font>
        <strike val="0"/>
        <outline val="0"/>
        <shadow val="0"/>
        <u val="none"/>
        <vertAlign val="baseline"/>
        <sz val="11"/>
        <name val="Arial"/>
        <scheme val="minor"/>
      </font>
      <numFmt numFmtId="168" formatCode="&quot;$&quot;#,##0"/>
      <fill>
        <patternFill patternType="solid">
          <fgColor indexed="64"/>
          <bgColor rgb="FFDDEBF7"/>
        </patternFill>
      </fill>
    </dxf>
    <dxf>
      <font>
        <strike val="0"/>
        <outline val="0"/>
        <shadow val="0"/>
        <u val="none"/>
        <vertAlign val="baseline"/>
        <sz val="11"/>
        <name val="Arial"/>
        <scheme val="minor"/>
      </font>
      <numFmt numFmtId="168" formatCode="&quot;$&quot;#,##0"/>
      <fill>
        <patternFill patternType="solid">
          <fgColor indexed="64"/>
          <bgColor rgb="FFDDEBF7"/>
        </patternFill>
      </fill>
    </dxf>
    <dxf>
      <font>
        <strike val="0"/>
        <outline val="0"/>
        <shadow val="0"/>
        <u val="none"/>
        <vertAlign val="baseline"/>
        <sz val="11"/>
        <name val="Arial"/>
        <scheme val="minor"/>
      </font>
      <fill>
        <patternFill patternType="solid">
          <fgColor indexed="64"/>
          <bgColor rgb="FFDDEBF7"/>
        </patternFill>
      </fill>
    </dxf>
    <dxf>
      <font>
        <strike val="0"/>
        <outline val="0"/>
        <shadow val="0"/>
        <u val="none"/>
        <vertAlign val="baseline"/>
        <sz val="11"/>
        <name val="Arial"/>
        <scheme val="minor"/>
      </font>
    </dxf>
    <dxf>
      <font>
        <b/>
        <i val="0"/>
        <strike val="0"/>
        <condense val="0"/>
        <extend val="0"/>
        <outline val="0"/>
        <shadow val="0"/>
        <u val="none"/>
        <vertAlign val="baseline"/>
        <sz val="11"/>
        <color rgb="FFFFFFFF"/>
        <name val="Arial"/>
        <family val="2"/>
        <scheme val="minor"/>
      </font>
      <fill>
        <patternFill patternType="solid">
          <fgColor indexed="64"/>
          <bgColor rgb="FF4472C4"/>
        </patternFill>
      </fill>
    </dxf>
    <dxf>
      <font>
        <strike val="0"/>
        <outline val="0"/>
        <shadow val="0"/>
        <u val="none"/>
        <vertAlign val="baseline"/>
        <sz val="11"/>
        <name val="Arial"/>
        <scheme val="minor"/>
      </font>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numFmt numFmtId="168" formatCode="&quot;$&quot;#,##0"/>
    </dxf>
    <dxf>
      <font>
        <strike val="0"/>
        <outline val="0"/>
        <shadow val="0"/>
        <u val="none"/>
        <vertAlign val="baseline"/>
        <sz val="11"/>
        <name val="Arial"/>
        <scheme val="minor"/>
      </font>
    </dxf>
    <dxf>
      <font>
        <strike val="0"/>
        <outline val="0"/>
        <shadow val="0"/>
        <u val="none"/>
        <vertAlign val="baseline"/>
        <sz val="11"/>
        <name val="Arial"/>
        <scheme val="minor"/>
      </font>
    </dxf>
    <dxf>
      <font>
        <b/>
        <i val="0"/>
        <strike val="0"/>
        <condense val="0"/>
        <extend val="0"/>
        <outline val="0"/>
        <shadow val="0"/>
        <u val="none"/>
        <vertAlign val="baseline"/>
        <sz val="11"/>
        <color rgb="FFFFFFFF"/>
        <name val="Arial"/>
        <scheme val="minor"/>
      </font>
      <fill>
        <patternFill patternType="solid">
          <fgColor indexed="64"/>
          <bgColor rgb="FF4472C4"/>
        </patternFill>
      </fill>
    </dxf>
    <dxf>
      <font>
        <b val="0"/>
        <strike val="0"/>
        <outline val="0"/>
        <shadow val="0"/>
        <u val="none"/>
        <vertAlign val="baseline"/>
        <sz val="11"/>
        <color rgb="FF000000"/>
        <name val="Arial"/>
        <scheme val="major"/>
      </font>
      <numFmt numFmtId="0" formatCode="General"/>
      <fill>
        <patternFill patternType="none"/>
      </fill>
    </dxf>
    <dxf>
      <font>
        <b val="0"/>
        <strike val="0"/>
        <outline val="0"/>
        <shadow val="0"/>
        <u val="none"/>
        <vertAlign val="baseline"/>
        <sz val="11"/>
        <color rgb="FF000000"/>
        <name val="Arial"/>
        <scheme val="major"/>
      </font>
      <numFmt numFmtId="0" formatCode="General"/>
      <fill>
        <patternFill patternType="none"/>
      </fill>
    </dxf>
    <dxf>
      <font>
        <b val="0"/>
        <strike val="0"/>
        <outline val="0"/>
        <shadow val="0"/>
        <u val="none"/>
        <vertAlign val="baseline"/>
        <sz val="11"/>
        <color rgb="FF000000"/>
        <name val="Arial"/>
        <scheme val="major"/>
      </font>
      <numFmt numFmtId="0" formatCode="General"/>
      <fill>
        <patternFill patternType="none"/>
      </fill>
    </dxf>
    <dxf>
      <font>
        <b val="0"/>
        <strike val="0"/>
        <outline val="0"/>
        <shadow val="0"/>
        <u val="none"/>
        <vertAlign val="baseline"/>
        <sz val="11"/>
        <color rgb="FF000000"/>
        <name val="Arial"/>
        <scheme val="major"/>
      </font>
      <numFmt numFmtId="0" formatCode="General"/>
      <fill>
        <patternFill patternType="none"/>
      </fill>
    </dxf>
    <dxf>
      <font>
        <b val="0"/>
        <strike val="0"/>
        <outline val="0"/>
        <shadow val="0"/>
        <u val="none"/>
        <vertAlign val="baseline"/>
        <sz val="11"/>
        <color rgb="FF000000"/>
        <name val="Arial"/>
        <scheme val="major"/>
      </font>
      <numFmt numFmtId="0" formatCode="General"/>
      <fill>
        <patternFill patternType="none"/>
      </fill>
    </dxf>
    <dxf>
      <font>
        <b val="0"/>
        <strike val="0"/>
        <outline val="0"/>
        <shadow val="0"/>
        <u val="none"/>
        <vertAlign val="baseline"/>
        <sz val="11"/>
        <color rgb="FF000000"/>
        <name val="Arial"/>
        <scheme val="major"/>
      </font>
      <fill>
        <patternFill patternType="none"/>
      </fill>
    </dxf>
    <dxf>
      <font>
        <b/>
        <i val="0"/>
        <strike val="0"/>
        <condense val="0"/>
        <extend val="0"/>
        <outline val="0"/>
        <shadow val="0"/>
        <u val="none"/>
        <vertAlign val="baseline"/>
        <sz val="11"/>
        <color rgb="FFFFFFFF"/>
        <name val="Arial"/>
        <scheme val="major"/>
      </font>
      <fill>
        <patternFill patternType="solid">
          <fgColor indexed="64"/>
          <bgColor rgb="FF4472C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1443485</xdr:colOff>
      <xdr:row>1</xdr:row>
      <xdr:rowOff>50447</xdr:rowOff>
    </xdr:from>
    <xdr:ext cx="2298511" cy="63817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320535" y="307622"/>
          <a:ext cx="2298511" cy="6381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1</xdr:col>
      <xdr:colOff>666750</xdr:colOff>
      <xdr:row>24</xdr:row>
      <xdr:rowOff>6350</xdr:rowOff>
    </xdr:from>
    <xdr:to>
      <xdr:col>5</xdr:col>
      <xdr:colOff>615950</xdr:colOff>
      <xdr:row>27</xdr:row>
      <xdr:rowOff>171450</xdr:rowOff>
    </xdr:to>
    <xdr:sp macro="" textlink="">
      <xdr:nvSpPr>
        <xdr:cNvPr id="2" name="TextBox 1">
          <a:extLst>
            <a:ext uri="{FF2B5EF4-FFF2-40B4-BE49-F238E27FC236}">
              <a16:creationId xmlns:a16="http://schemas.microsoft.com/office/drawing/2014/main" id="{2CF5B2C8-DD86-15AA-3424-DE4CC8F37D45}"/>
            </a:ext>
          </a:extLst>
        </xdr:cNvPr>
        <xdr:cNvSpPr txBox="1"/>
      </xdr:nvSpPr>
      <xdr:spPr>
        <a:xfrm>
          <a:off x="952500" y="4832350"/>
          <a:ext cx="5753100" cy="755650"/>
        </a:xfrm>
        <a:prstGeom prst="rect">
          <a:avLst/>
        </a:prstGeom>
        <a:solidFill>
          <a:schemeClr val="lt1"/>
        </a:solidFill>
        <a:ln w="9525" cmpd="sng">
          <a:solidFill>
            <a:schemeClr val="lt1">
              <a:shade val="50000"/>
            </a:schemeClr>
          </a:solidFill>
        </a:ln>
        <a:effectLst>
          <a:outerShdw blurRad="63500" sx="102000" sy="102000" algn="ctr" rotWithShape="0">
            <a:prstClr val="black">
              <a:alpha val="40000"/>
            </a:prstClr>
          </a:outerShdw>
          <a:reflection blurRad="6350" stA="52000" endA="300" endPos="35000" dir="5400000" sy="-100000" algn="bl" rotWithShape="0"/>
          <a:softEdge rad="3175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0" i="1" u="none" strike="noStrike">
              <a:solidFill>
                <a:schemeClr val="dk1"/>
              </a:solidFill>
              <a:effectLst/>
              <a:latin typeface="+mn-lt"/>
              <a:ea typeface="+mn-ea"/>
              <a:cs typeface="+mn-cs"/>
            </a:rPr>
            <a:t>"The living wage reflects what people need to earn to cover the actual costs of living in their community. The living wage draws on community-specific data to determine the expenses to a family with two working adults and two children." - Living Wage Ontario</a:t>
          </a:r>
          <a:r>
            <a:rPr lang="en-CA">
              <a:latin typeface="+mn-lt"/>
            </a:rPr>
            <a:t> </a:t>
          </a:r>
          <a:endParaRPr lang="en-CA" sz="1100">
            <a:latin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828674</xdr:colOff>
      <xdr:row>27</xdr:row>
      <xdr:rowOff>101600</xdr:rowOff>
    </xdr:from>
    <xdr:to>
      <xdr:col>1</xdr:col>
      <xdr:colOff>5683250</xdr:colOff>
      <xdr:row>34</xdr:row>
      <xdr:rowOff>101600</xdr:rowOff>
    </xdr:to>
    <xdr:sp macro="" textlink="">
      <xdr:nvSpPr>
        <xdr:cNvPr id="2" name="TextBox 1">
          <a:extLst>
            <a:ext uri="{FF2B5EF4-FFF2-40B4-BE49-F238E27FC236}">
              <a16:creationId xmlns:a16="http://schemas.microsoft.com/office/drawing/2014/main" id="{01B7FA09-BCD5-06F6-76AB-29D6D0996FCD}"/>
            </a:ext>
          </a:extLst>
        </xdr:cNvPr>
        <xdr:cNvSpPr txBox="1"/>
      </xdr:nvSpPr>
      <xdr:spPr>
        <a:xfrm>
          <a:off x="1089024" y="6515100"/>
          <a:ext cx="4854576" cy="1377950"/>
        </a:xfrm>
        <a:prstGeom prst="rect">
          <a:avLst/>
        </a:prstGeom>
        <a:solidFill>
          <a:schemeClr val="lt1"/>
        </a:solidFill>
        <a:ln w="9525" cmpd="sng">
          <a:solidFill>
            <a:schemeClr val="lt1">
              <a:shade val="50000"/>
            </a:schemeClr>
          </a:solid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i="0">
              <a:solidFill>
                <a:schemeClr val="dk1"/>
              </a:solidFill>
              <a:effectLst/>
              <a:latin typeface="+mn-lt"/>
              <a:ea typeface="+mn-ea"/>
              <a:cs typeface="+mn-cs"/>
            </a:rPr>
            <a:t>Example:</a:t>
          </a:r>
          <a:r>
            <a:rPr lang="en-CA" sz="1100" b="0" i="0">
              <a:solidFill>
                <a:schemeClr val="dk1"/>
              </a:solidFill>
              <a:effectLst/>
              <a:latin typeface="+mn-lt"/>
              <a:ea typeface="+mn-ea"/>
              <a:cs typeface="+mn-cs"/>
            </a:rPr>
            <a:t> An eligible staff member earns $80,000 in qualifying employment income and has $33,000 in eligible housing costs. One-third of their income is $26,667, which exceeds the alternative $10,000 amount. Because their housing costs and qualifying income also exceed $26,667, their clergy residence deduction would be $26,667. At a 27% marginal tax rate, this could reduce their income tax by approximately $7,200. Actual tax savings will vary depending on the individual’s circumstances.</a:t>
          </a:r>
          <a:endParaRPr lang="en-CA"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1612900</xdr:colOff>
      <xdr:row>6</xdr:row>
      <xdr:rowOff>53975</xdr:rowOff>
    </xdr:from>
    <xdr:to>
      <xdr:col>1</xdr:col>
      <xdr:colOff>5905500</xdr:colOff>
      <xdr:row>6</xdr:row>
      <xdr:rowOff>701675</xdr:rowOff>
    </xdr:to>
    <xdr:sp macro="" textlink="">
      <xdr:nvSpPr>
        <xdr:cNvPr id="2" name="TextBox 1">
          <a:extLst>
            <a:ext uri="{FF2B5EF4-FFF2-40B4-BE49-F238E27FC236}">
              <a16:creationId xmlns:a16="http://schemas.microsoft.com/office/drawing/2014/main" id="{951A29A7-6099-363E-AA0B-FBAFEBC6FD21}"/>
            </a:ext>
          </a:extLst>
        </xdr:cNvPr>
        <xdr:cNvSpPr txBox="1"/>
      </xdr:nvSpPr>
      <xdr:spPr>
        <a:xfrm>
          <a:off x="1851025" y="1301750"/>
          <a:ext cx="4292600" cy="647700"/>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0" i="1" u="none" strike="noStrike">
              <a:solidFill>
                <a:schemeClr val="dk1"/>
              </a:solidFill>
              <a:effectLst/>
              <a:latin typeface="+mn-lt"/>
              <a:ea typeface="+mn-ea"/>
              <a:cs typeface="+mn-cs"/>
            </a:rPr>
            <a:t>To provide churches with a guideline for paying ministry staff adequately and encouraging long-term staff tenures, while not overburdening church budgets.</a:t>
          </a:r>
          <a:r>
            <a:rPr lang="en-CA"/>
            <a:t> </a:t>
          </a:r>
          <a:endParaRPr lang="en-CA"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BEE501A-22BA-462B-A414-89A7C21809B6}" autoFormatId="16" applyNumberFormats="0" applyBorderFormats="0" applyFontFormats="0" applyPatternFormats="0" applyAlignmentFormats="0" applyWidthHeightFormats="0">
  <queryTableRefresh nextId="6" unboundColumnsRight="1">
    <queryTableFields count="5">
      <queryTableField id="1" name="Column1" tableColumnId="1"/>
      <queryTableField id="2" name="Column2" tableColumnId="2"/>
      <queryTableField id="3" name="Column3" tableColumnId="3"/>
      <queryTableField id="4" name="Column4" tableColumnId="4"/>
      <queryTableField id="5" dataBound="0"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120FEB-3EE3-4CFE-A48B-050F1CC81296}" name="_2024_Rates" displayName="_2024_Rates" ref="B6:F17" tableType="queryTable" totalsRowShown="0" headerRowDxfId="38" dataDxfId="37">
  <autoFilter ref="B6:F17" xr:uid="{59120FEB-3EE3-4CFE-A48B-050F1CC81296}"/>
  <tableColumns count="5">
    <tableColumn id="1" xr3:uid="{2F5E6D9A-F549-4AD4-85F6-238D068FFF67}" uniqueName="1" name="Living wage region" queryTableFieldId="1" dataDxfId="36"/>
    <tableColumn id="2" xr3:uid="{76C9CE8F-BEFE-4ADD-8374-A81A9CFEAC66}" uniqueName="2" name="2024" queryTableFieldId="2" dataDxfId="35"/>
    <tableColumn id="3" xr3:uid="{3D7687AD-2577-4323-A425-4D4077ED304C}" uniqueName="3" name="2025" queryTableFieldId="3" dataDxfId="34"/>
    <tableColumn id="4" xr3:uid="{7C6EB692-9E90-440D-BF2C-164F5A174C5A}" uniqueName="4" name="$ change" queryTableFieldId="4" dataDxfId="33"/>
    <tableColumn id="5" xr3:uid="{5C010063-3BBB-4444-B85A-01C5F91D0D12}" uniqueName="5" name="% change" queryTableFieldId="5" dataDxfId="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215AF65-A4D5-4983-9B33-B8EDEA6137D3}" name="tblChurchSize_New" displayName="tblChurchSize_New" ref="B27:F33" totalsRowShown="0" headerRowDxfId="31" dataDxfId="30">
  <autoFilter ref="B27:F33" xr:uid="{E215AF65-A4D5-4983-9B33-B8EDEA6137D3}"/>
  <tableColumns count="5">
    <tableColumn id="1" xr3:uid="{77A38899-FEDB-4800-9D18-C24DA0B8AAFC}" name="Church Size" dataDxfId="29"/>
    <tableColumn id="2" xr3:uid="{4CFADEE0-4BBA-4C39-924E-D29BDDA19E0B}" name="Base Year (2026)" dataDxfId="28"/>
    <tableColumn id="3" xr3:uid="{BAECF119-FC44-40BC-8A33-9EE497A5B839}" name="Current Year" dataDxfId="27">
      <calculatedColumnFormula>ROUND(C28*$C$19,0)</calculatedColumnFormula>
    </tableColumn>
    <tableColumn id="4" xr3:uid="{701F544D-81E6-4AA7-92A9-3C87D0110C8C}" name="YoY Change" dataDxfId="26">
      <calculatedColumnFormula>D28-C28</calculatedColumnFormula>
    </tableColumn>
    <tableColumn id="5" xr3:uid="{59169700-32A3-4520-A816-960790C7DACB}" name="Display Label"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AE7B047-06EE-4795-8EA1-4724ABFF697A}" name="tblExperience_New" displayName="tblExperience_New" ref="B40:E51" totalsRowShown="0" headerRowDxfId="24" dataDxfId="23">
  <autoFilter ref="B40:E51" xr:uid="{3AE7B047-06EE-4795-8EA1-4724ABFF697A}"/>
  <tableColumns count="4">
    <tableColumn id="1" xr3:uid="{37054795-7AB1-4D6B-A3BA-4FAFAEA5CB50}" name="Years" dataDxfId="22"/>
    <tableColumn id="2" xr3:uid="{02FB505C-92AA-447B-A01A-2940E45DB57B}" name="Base Year" dataDxfId="21">
      <calculatedColumnFormula>$C$37*B41</calculatedColumnFormula>
    </tableColumn>
    <tableColumn id="3" xr3:uid="{ABEA3644-ECB1-476F-B88F-D04EE2539520}" name="Current Year" dataDxfId="20">
      <calculatedColumnFormula>$D$37*B41</calculatedColumnFormula>
    </tableColumn>
    <tableColumn id="4" xr3:uid="{07ACBFF6-8E9E-450B-B649-72D953446382}" name="Display Label" dataDxfId="1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176847-14DE-4C27-98E4-11BD931F745A}" name="tblEducation_New" displayName="tblEducation_New" ref="B54:F58" totalsRowShown="0" headerRowDxfId="18" dataDxfId="17">
  <autoFilter ref="B54:F58" xr:uid="{4A176847-14DE-4C27-98E4-11BD931F745A}"/>
  <tableColumns count="5">
    <tableColumn id="1" xr3:uid="{DC4209EF-99DF-49EC-BDA3-C79DE56A2CDF}" name="Education Level" dataDxfId="16"/>
    <tableColumn id="2" xr3:uid="{6FB0D871-788B-41F3-BE4F-8A65A553D75B}" name="Base Year (2026)" dataDxfId="15"/>
    <tableColumn id="3" xr3:uid="{A7385205-B58F-42A7-90CF-BD6B3F2BE7F2}" name="Current Year" dataDxfId="14">
      <calculatedColumnFormula>ROUND(C55*$C$19,0)</calculatedColumnFormula>
    </tableColumn>
    <tableColumn id="4" xr3:uid="{90A44340-8D29-4D7C-8829-3B682CDC377B}" name="YoY Change" dataDxfId="13">
      <calculatedColumnFormula>D55-C55</calculatedColumnFormula>
    </tableColumn>
    <tableColumn id="5" xr3:uid="{80AF753D-4604-4ACE-8B2E-5BF5293A63F2}" name="Display Label" dataDxfId="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BF1DC3A-0A11-44E0-8E20-C61D28FEA4F4}" name="tblStaffLevels" displayName="tblStaffLevels" ref="B65:D71" totalsRowShown="0" headerRowDxfId="11" dataDxfId="10">
  <autoFilter ref="B65:D71" xr:uid="{2BF1DC3A-0A11-44E0-8E20-C61D28FEA4F4}"/>
  <tableColumns count="3">
    <tableColumn id="1" xr3:uid="{B4BE0FD2-F9DD-42C5-90A0-241B2E3EB513}" name="Staff Level" dataDxfId="9"/>
    <tableColumn id="2" xr3:uid="{CD995280-3F0B-4BDE-9550-3E05F4D004A9}" name="Percentage of Calculated Salary" dataDxfId="8"/>
    <tableColumn id="3" xr3:uid="{1C147C42-3485-4FA7-BEF4-D49A93D4B019}" name="Notes" dataDxfId="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DA41F08-4E3C-4157-BE0B-1693959AFF65}" name="tblHousing_New" displayName="tblHousing_New" ref="B75:F106" totalsRowShown="0" headerRowDxfId="6" dataDxfId="5">
  <autoFilter ref="B75:F106" xr:uid="{0DA41F08-4E3C-4157-BE0B-1693959AFF65}"/>
  <sortState xmlns:xlrd2="http://schemas.microsoft.com/office/spreadsheetml/2017/richdata2" ref="B76:F106">
    <sortCondition ref="B76:B106"/>
  </sortState>
  <tableColumns count="5">
    <tableColumn id="1" xr3:uid="{EAD69152-2D80-4D8E-B63E-4FE730F9FDF4}" name="Community" dataDxfId="4"/>
    <tableColumn id="2" xr3:uid="{25084BA2-7622-4285-AFDA-09F757872DD5}" name="Base Year (2026)" dataDxfId="3"/>
    <tableColumn id="3" xr3:uid="{EFD0920C-B531-49E4-A430-CEDBA5492601}" name="Current Year" dataDxfId="2">
      <calculatedColumnFormula>ROUND(C76*$C$19,0)</calculatedColumnFormula>
    </tableColumn>
    <tableColumn id="4" xr3:uid="{FB90D56F-F341-475D-A5F1-D8579C28C248}" name="YoY Change" dataDxfId="1">
      <calculatedColumnFormula>D76-C76</calculatedColumnFormula>
    </tableColumn>
    <tableColumn id="5" xr3:uid="{EC171FA4-67FB-44D2-BC56-6E6F20E77A80}" name="Notes"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zoocasa.ca/" TargetMode="External"/><Relationship Id="rId1" Type="http://schemas.openxmlformats.org/officeDocument/2006/relationships/hyperlink" Target="http://zoocasa.ca/"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hyperlink" Target="https://www.ontariolivingwage.ca/rat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churchvitality@febcentral.ca?subject=Staff%20Salary%20Guide" TargetMode="External"/><Relationship Id="rId2" Type="http://schemas.openxmlformats.org/officeDocument/2006/relationships/hyperlink" Target="https://www.canada.ca/en/revenue-agency/services/forms-publications/publications/it141r-consolid/archived-consolidated-clergy-residence-deduction.html" TargetMode="External"/><Relationship Id="rId1" Type="http://schemas.openxmlformats.org/officeDocument/2006/relationships/hyperlink" Target="https://www.canada.ca/en/revenue-agency/services/tax/individuals/topics/about-your-tax-return/tax-return/completing-a-tax-return/deductions-credits-expenses/line-23100-clergy-residence-deduction.html" TargetMode="External"/><Relationship Id="rId5" Type="http://schemas.openxmlformats.org/officeDocument/2006/relationships/drawing" Target="../drawings/drawing3.xml"/><Relationship Id="rId4" Type="http://schemas.openxmlformats.org/officeDocument/2006/relationships/hyperlink" Target="https://www.canada.ca/en/revenue-agency/services/forms-publications/forms/t1223.htm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8CCE4"/>
  </sheetPr>
  <dimension ref="A1:AT76"/>
  <sheetViews>
    <sheetView tabSelected="1" zoomScale="110" zoomScaleNormal="110" workbookViewId="0">
      <selection activeCell="E14" sqref="E14"/>
    </sheetView>
  </sheetViews>
  <sheetFormatPr baseColWidth="10" defaultColWidth="10.140625" defaultRowHeight="15" customHeight="1" x14ac:dyDescent="0.2"/>
  <cols>
    <col min="1" max="1" width="2.28515625" style="84" customWidth="1"/>
    <col min="2" max="2" width="38.85546875" style="84" customWidth="1"/>
    <col min="3" max="3" width="15.7109375" style="84" customWidth="1"/>
    <col min="4" max="4" width="4.7109375" style="84" customWidth="1"/>
    <col min="5" max="5" width="23.7109375" style="84" bestFit="1" customWidth="1"/>
    <col min="6" max="6" width="44.28515625" style="84" customWidth="1"/>
    <col min="7" max="7" width="20.140625" style="84" customWidth="1"/>
    <col min="8" max="8" width="4.28515625" style="84" customWidth="1"/>
    <col min="9" max="9" width="34.85546875" style="84" customWidth="1"/>
    <col min="10" max="10" width="19.7109375" style="84" customWidth="1"/>
    <col min="11" max="11" width="4.85546875" style="84" customWidth="1"/>
    <col min="12" max="12" width="33.28515625" style="84" customWidth="1"/>
    <col min="13" max="13" width="19.7109375" style="84" customWidth="1"/>
    <col min="14" max="28" width="10.7109375" style="84" customWidth="1"/>
    <col min="29" max="16384" width="10.140625" style="84"/>
  </cols>
  <sheetData>
    <row r="1" spans="1:22" s="97" customFormat="1" ht="14.25" customHeight="1" x14ac:dyDescent="0.2"/>
    <row r="2" spans="1:22" s="97" customFormat="1" ht="30" customHeight="1" x14ac:dyDescent="0.2">
      <c r="B2" s="186" t="s">
        <v>0</v>
      </c>
      <c r="C2" s="186"/>
      <c r="D2" s="186"/>
      <c r="E2" s="186"/>
      <c r="F2" s="186"/>
      <c r="G2" s="133"/>
    </row>
    <row r="3" spans="1:22" s="97" customFormat="1" ht="28" x14ac:dyDescent="0.2">
      <c r="B3" s="190" t="s">
        <v>1</v>
      </c>
      <c r="C3" s="191"/>
      <c r="D3" s="191"/>
      <c r="E3" s="191"/>
      <c r="F3" s="191"/>
      <c r="G3" s="133"/>
    </row>
    <row r="4" spans="1:22" s="134" customFormat="1" ht="14.25" customHeight="1" x14ac:dyDescent="0.2">
      <c r="A4" s="83"/>
      <c r="B4" s="83"/>
      <c r="C4" s="83"/>
      <c r="D4" s="83"/>
      <c r="E4" s="83"/>
      <c r="F4" s="83"/>
      <c r="G4" s="83"/>
      <c r="H4" s="83"/>
      <c r="I4" s="83"/>
      <c r="J4" s="83"/>
      <c r="K4" s="83"/>
      <c r="L4" s="83"/>
      <c r="M4" s="83"/>
      <c r="N4" s="83"/>
      <c r="O4" s="83"/>
      <c r="P4" s="83"/>
      <c r="Q4" s="83"/>
      <c r="R4" s="83"/>
      <c r="S4" s="83"/>
      <c r="T4" s="83"/>
      <c r="U4" s="83"/>
      <c r="V4" s="83"/>
    </row>
    <row r="5" spans="1:22" s="63" customFormat="1" ht="20.25" customHeight="1" x14ac:dyDescent="0.2">
      <c r="B5" s="69" t="s">
        <v>2</v>
      </c>
      <c r="C5" s="67"/>
      <c r="D5" s="67"/>
      <c r="E5" s="67"/>
      <c r="F5" s="68"/>
      <c r="G5" s="83"/>
      <c r="H5" s="83"/>
      <c r="I5" s="83"/>
      <c r="J5" s="83"/>
      <c r="K5" s="83"/>
      <c r="L5" s="83"/>
      <c r="M5" s="83"/>
      <c r="N5" s="83"/>
      <c r="O5" s="83"/>
      <c r="P5" s="83"/>
      <c r="Q5" s="83"/>
      <c r="R5" s="83"/>
      <c r="S5" s="83"/>
      <c r="T5" s="83"/>
      <c r="U5" s="83"/>
      <c r="V5" s="83"/>
    </row>
    <row r="6" spans="1:22" s="83" customFormat="1" ht="14" x14ac:dyDescent="0.2">
      <c r="B6" s="172" t="s">
        <v>3</v>
      </c>
      <c r="C6" s="172"/>
      <c r="D6" s="172"/>
      <c r="E6" s="172"/>
      <c r="F6" s="172"/>
    </row>
    <row r="7" spans="1:22" s="93" customFormat="1" ht="14" x14ac:dyDescent="0.2">
      <c r="B7" s="185" t="s">
        <v>4</v>
      </c>
      <c r="C7" s="185"/>
      <c r="D7" s="185"/>
      <c r="E7" s="185"/>
      <c r="F7" s="185"/>
      <c r="G7" s="83"/>
    </row>
    <row r="8" spans="1:22" s="93" customFormat="1" ht="14" x14ac:dyDescent="0.2">
      <c r="B8" s="184" t="s">
        <v>5</v>
      </c>
      <c r="C8" s="184"/>
      <c r="D8" s="184"/>
      <c r="E8" s="184"/>
      <c r="F8" s="184"/>
      <c r="G8" s="83"/>
    </row>
    <row r="9" spans="1:22" s="93" customFormat="1" ht="14.25" customHeight="1" x14ac:dyDescent="0.2">
      <c r="B9" s="172"/>
      <c r="C9" s="172"/>
      <c r="D9" s="172"/>
      <c r="E9" s="172"/>
      <c r="F9" s="172"/>
      <c r="G9" s="83"/>
    </row>
    <row r="10" spans="1:22" s="93" customFormat="1" ht="14.25" customHeight="1" x14ac:dyDescent="0.2">
      <c r="B10" s="135"/>
      <c r="C10" s="135"/>
      <c r="D10" s="135"/>
      <c r="E10" s="135"/>
      <c r="F10" s="135"/>
      <c r="G10" s="83"/>
    </row>
    <row r="11" spans="1:22" s="93" customFormat="1" ht="14.25" customHeight="1" x14ac:dyDescent="0.2">
      <c r="B11" s="187" t="s">
        <v>6</v>
      </c>
      <c r="C11" s="187"/>
      <c r="D11" s="187"/>
      <c r="E11" s="187"/>
      <c r="F11" s="187"/>
    </row>
    <row r="12" spans="1:22" s="93" customFormat="1" ht="14.25" customHeight="1" x14ac:dyDescent="0.2">
      <c r="B12" s="187"/>
      <c r="C12" s="187"/>
      <c r="D12" s="187"/>
      <c r="E12" s="187"/>
      <c r="F12" s="187"/>
    </row>
    <row r="13" spans="1:22" s="97" customFormat="1" ht="14.25" customHeight="1" x14ac:dyDescent="0.2">
      <c r="B13" s="136" t="s">
        <v>7</v>
      </c>
      <c r="C13" s="136"/>
      <c r="D13" s="136"/>
      <c r="E13" s="136"/>
      <c r="F13" s="167">
        <f>Base_Salary_Current</f>
        <v>59757</v>
      </c>
      <c r="G13" s="133"/>
    </row>
    <row r="14" spans="1:22" s="97" customFormat="1" ht="14.25" customHeight="1" x14ac:dyDescent="0.2">
      <c r="B14" s="137" t="s">
        <v>8</v>
      </c>
      <c r="C14" s="136"/>
      <c r="D14" s="136"/>
      <c r="E14" s="164" t="s">
        <v>9</v>
      </c>
      <c r="F14" s="167">
        <f>IFERROR(_xlfn.XLOOKUP(E14,tblHousing_New[Community],tblHousing_New[Current Year],"",0),0)</f>
        <v>16374</v>
      </c>
      <c r="G14" s="133"/>
    </row>
    <row r="15" spans="1:22" s="97" customFormat="1" ht="14.25" customHeight="1" x14ac:dyDescent="0.2">
      <c r="B15" s="137" t="s">
        <v>10</v>
      </c>
      <c r="C15" s="136"/>
      <c r="D15" s="136"/>
      <c r="E15" s="165" t="s">
        <v>11</v>
      </c>
      <c r="F15" s="167">
        <f>IFERROR(_xlfn.XLOOKUP(E15,tblChurchSize_New[Display Label],tblChurchSize_New[Current Year],"",0),0)</f>
        <v>3296</v>
      </c>
      <c r="G15" s="133"/>
    </row>
    <row r="16" spans="1:22" s="97" customFormat="1" ht="14.25" customHeight="1" x14ac:dyDescent="0.2">
      <c r="B16" s="137" t="s">
        <v>12</v>
      </c>
      <c r="C16" s="136"/>
      <c r="D16" s="136"/>
      <c r="E16" s="165" t="s">
        <v>13</v>
      </c>
      <c r="F16" s="167">
        <f>IFERROR(_xlfn.XLOOKUP(E16,tblExperience_New[Display Label],tblExperience_New[Current Year],"",0),0)</f>
        <v>7659.52</v>
      </c>
      <c r="G16" s="133"/>
    </row>
    <row r="17" spans="2:15" s="97" customFormat="1" ht="14.25" customHeight="1" x14ac:dyDescent="0.2">
      <c r="B17" s="137" t="s">
        <v>14</v>
      </c>
      <c r="C17" s="136"/>
      <c r="D17" s="136"/>
      <c r="E17" s="166" t="s">
        <v>15</v>
      </c>
      <c r="F17" s="167">
        <f>IFERROR(_xlfn.XLOOKUP(E17,tblEducation_New[Display Label],tblEducation_New[Current Year],"",0),0)</f>
        <v>2977</v>
      </c>
      <c r="G17" s="133"/>
    </row>
    <row r="18" spans="2:15" s="93" customFormat="1" ht="14.25" customHeight="1" x14ac:dyDescent="0.2">
      <c r="B18" s="138"/>
      <c r="C18" s="139"/>
      <c r="D18" s="138"/>
      <c r="E18" s="138"/>
    </row>
    <row r="19" spans="2:15" s="93" customFormat="1" ht="14.25" customHeight="1" x14ac:dyDescent="0.2">
      <c r="B19" s="189" t="s">
        <v>16</v>
      </c>
      <c r="C19" s="189"/>
      <c r="D19" s="189"/>
      <c r="E19" s="189"/>
      <c r="F19" s="189"/>
    </row>
    <row r="20" spans="2:15" s="93" customFormat="1" ht="14.25" customHeight="1" x14ac:dyDescent="0.2">
      <c r="B20" s="189"/>
      <c r="C20" s="189"/>
      <c r="D20" s="189"/>
      <c r="E20" s="189"/>
      <c r="F20" s="189"/>
    </row>
    <row r="21" spans="2:15" s="97" customFormat="1" ht="14.25" customHeight="1" x14ac:dyDescent="0.2">
      <c r="B21" s="140" t="s">
        <v>17</v>
      </c>
      <c r="C21" s="141">
        <f>IF(F15&lt;Settings!D33, SUM(F13:F18), SUM(F13:F18)*Settings!$C$71)</f>
        <v>90063.52</v>
      </c>
      <c r="D21" s="142" t="s">
        <v>18</v>
      </c>
      <c r="E21" s="143">
        <f>C21+Settings!$D$62</f>
        <v>98038.432000000001</v>
      </c>
      <c r="F21" s="144"/>
    </row>
    <row r="22" spans="2:15" s="97" customFormat="1" ht="14.25" customHeight="1" x14ac:dyDescent="0.2">
      <c r="B22" s="145" t="s">
        <v>19</v>
      </c>
      <c r="C22" s="146">
        <f>SUM(F$13:F$18)*Settings!C67</f>
        <v>83759.073600000003</v>
      </c>
      <c r="D22" s="142" t="s">
        <v>18</v>
      </c>
      <c r="E22" s="143">
        <f>C22+Settings!$D$62</f>
        <v>91733.9856</v>
      </c>
      <c r="F22" s="144"/>
    </row>
    <row r="23" spans="2:15" s="97" customFormat="1" ht="14.25" customHeight="1" x14ac:dyDescent="0.2">
      <c r="B23" s="145" t="s">
        <v>20</v>
      </c>
      <c r="C23" s="146">
        <f>SUM(F$13:F$18)*Settings!C68</f>
        <v>76553.991999999998</v>
      </c>
      <c r="D23" s="142" t="s">
        <v>18</v>
      </c>
      <c r="E23" s="143">
        <f>C23+Settings!$D$62</f>
        <v>84528.903999999995</v>
      </c>
      <c r="F23" s="144"/>
    </row>
    <row r="24" spans="2:15" s="97" customFormat="1" ht="14.25" customHeight="1" x14ac:dyDescent="0.2">
      <c r="B24" s="145" t="s">
        <v>21</v>
      </c>
      <c r="C24" s="146">
        <f>IF(F15=Settings!D33,((SUM(F13:F18)-(Settings!D33-Settings!D31))*Settings!C69),IF(F15=Settings!D32,((SUM(F13:F18)-(Settings!D32-Settings!D31))*Settings!C69),((SUM(F13:F18)))*Settings!C69))</f>
        <v>70249.545600000012</v>
      </c>
      <c r="D24" s="142" t="s">
        <v>18</v>
      </c>
      <c r="E24" s="143">
        <f>C24+Settings!$D$62</f>
        <v>78224.457600000009</v>
      </c>
      <c r="F24" s="144"/>
      <c r="O24" s="97" t="s">
        <v>22</v>
      </c>
    </row>
    <row r="25" spans="2:15" s="97" customFormat="1" ht="14.25" customHeight="1" x14ac:dyDescent="0.2">
      <c r="B25" s="145" t="s">
        <v>23</v>
      </c>
      <c r="C25" s="146">
        <f>IF(F15=Settings!D33,((SUM(F13:F18)-(Settings!D33-Settings!D31))*Settings!C70),IF(F15=Settings!D32,((SUM(F13:F18)-(Settings!D32-Settings!D31))*Settings!C70),((SUM(F13:F18)))*Settings!C70))</f>
        <v>63044.464</v>
      </c>
      <c r="D25" s="142" t="s">
        <v>18</v>
      </c>
      <c r="E25" s="143">
        <f>C25+Settings!$D$62</f>
        <v>71019.376000000004</v>
      </c>
      <c r="F25" s="144"/>
    </row>
    <row r="26" spans="2:15" s="97" customFormat="1" ht="14.25" customHeight="1" x14ac:dyDescent="0.2">
      <c r="B26" s="133"/>
      <c r="D26" s="147" t="s">
        <v>24</v>
      </c>
      <c r="E26" s="148"/>
      <c r="F26" s="149"/>
    </row>
    <row r="27" spans="2:15" s="93" customFormat="1" ht="14.25" customHeight="1" x14ac:dyDescent="0.2">
      <c r="B27" s="138"/>
      <c r="D27" s="150"/>
      <c r="E27" s="138"/>
    </row>
    <row r="28" spans="2:15" s="93" customFormat="1" ht="14" x14ac:dyDescent="0.2">
      <c r="B28" s="188" t="s">
        <v>25</v>
      </c>
      <c r="C28" s="188"/>
      <c r="D28" s="188"/>
      <c r="E28" s="188"/>
      <c r="F28" s="188"/>
    </row>
    <row r="29" spans="2:15" s="93" customFormat="1" ht="14" x14ac:dyDescent="0.2">
      <c r="B29" s="188"/>
      <c r="C29" s="188"/>
      <c r="D29" s="188"/>
      <c r="E29" s="188"/>
      <c r="F29" s="188"/>
    </row>
    <row r="30" spans="2:15" s="83" customFormat="1" ht="14.25" customHeight="1" x14ac:dyDescent="0.2">
      <c r="B30" s="173" t="s">
        <v>26</v>
      </c>
      <c r="C30" s="173"/>
      <c r="D30" s="173"/>
      <c r="E30" s="173"/>
      <c r="F30" s="173"/>
    </row>
    <row r="31" spans="2:15" s="83" customFormat="1" ht="14.25" customHeight="1" x14ac:dyDescent="0.2">
      <c r="B31" s="170" t="s">
        <v>27</v>
      </c>
      <c r="C31" s="171"/>
      <c r="D31" s="171"/>
      <c r="E31" s="171"/>
      <c r="F31" s="171"/>
      <c r="G31" s="151"/>
      <c r="H31" s="151"/>
      <c r="I31" s="151"/>
    </row>
    <row r="32" spans="2:15" s="83" customFormat="1" ht="14.25" customHeight="1" x14ac:dyDescent="0.2">
      <c r="B32" s="170" t="s">
        <v>28</v>
      </c>
      <c r="C32" s="171"/>
      <c r="D32" s="171"/>
      <c r="E32" s="171"/>
      <c r="F32" s="171"/>
      <c r="G32" s="151"/>
      <c r="H32" s="151"/>
      <c r="I32" s="151"/>
    </row>
    <row r="33" spans="2:9" s="83" customFormat="1" ht="14.25" customHeight="1" x14ac:dyDescent="0.2">
      <c r="B33" s="170" t="s">
        <v>29</v>
      </c>
      <c r="C33" s="171"/>
      <c r="D33" s="171"/>
      <c r="E33" s="171"/>
      <c r="F33" s="171"/>
      <c r="G33" s="151"/>
      <c r="H33" s="151"/>
      <c r="I33" s="151"/>
    </row>
    <row r="34" spans="2:9" s="83" customFormat="1" ht="14.25" customHeight="1" x14ac:dyDescent="0.2">
      <c r="B34" s="171" t="s">
        <v>30</v>
      </c>
      <c r="C34" s="171"/>
      <c r="D34" s="171"/>
      <c r="E34" s="171"/>
      <c r="F34" s="171"/>
      <c r="G34" s="151"/>
      <c r="H34" s="151"/>
      <c r="I34" s="151"/>
    </row>
    <row r="35" spans="2:9" s="83" customFormat="1" ht="14.25" customHeight="1" x14ac:dyDescent="0.2">
      <c r="B35" s="195" t="s">
        <v>31</v>
      </c>
      <c r="C35" s="195"/>
      <c r="D35" s="195"/>
      <c r="E35" s="195"/>
      <c r="F35" s="195"/>
      <c r="G35" s="151"/>
      <c r="H35" s="151"/>
      <c r="I35" s="151"/>
    </row>
    <row r="36" spans="2:9" s="83" customFormat="1" ht="14.25" customHeight="1" x14ac:dyDescent="0.2">
      <c r="B36" s="170" t="s">
        <v>32</v>
      </c>
      <c r="C36" s="171"/>
      <c r="D36" s="171"/>
      <c r="E36" s="171"/>
      <c r="F36" s="171"/>
      <c r="G36" s="151"/>
      <c r="H36" s="151"/>
      <c r="I36" s="151"/>
    </row>
    <row r="37" spans="2:9" s="83" customFormat="1" ht="14.25" customHeight="1" x14ac:dyDescent="0.2">
      <c r="B37" s="170" t="s">
        <v>33</v>
      </c>
      <c r="C37" s="171"/>
      <c r="D37" s="171"/>
      <c r="E37" s="171"/>
      <c r="F37" s="171"/>
      <c r="G37" s="151"/>
      <c r="H37" s="151"/>
      <c r="I37" s="151"/>
    </row>
    <row r="38" spans="2:9" s="83" customFormat="1" ht="14.25" customHeight="1" x14ac:dyDescent="0.2">
      <c r="B38" s="170" t="s">
        <v>34</v>
      </c>
      <c r="C38" s="171"/>
      <c r="D38" s="171"/>
      <c r="E38" s="171"/>
      <c r="F38" s="171"/>
      <c r="G38" s="151"/>
      <c r="H38" s="151"/>
      <c r="I38" s="151"/>
    </row>
    <row r="39" spans="2:9" s="83" customFormat="1" ht="14.25" customHeight="1" x14ac:dyDescent="0.2">
      <c r="B39" s="193" t="s">
        <v>35</v>
      </c>
      <c r="C39" s="194"/>
      <c r="D39" s="194"/>
      <c r="E39" s="194"/>
      <c r="F39" s="194"/>
      <c r="G39" s="151"/>
      <c r="H39" s="151"/>
      <c r="I39" s="151"/>
    </row>
    <row r="40" spans="2:9" s="83" customFormat="1" ht="14.25" customHeight="1" x14ac:dyDescent="0.2">
      <c r="B40" s="194"/>
      <c r="C40" s="194"/>
      <c r="D40" s="194"/>
      <c r="E40" s="194"/>
      <c r="F40" s="194"/>
      <c r="G40" s="151"/>
      <c r="H40" s="151"/>
      <c r="I40" s="151"/>
    </row>
    <row r="41" spans="2:9" s="83" customFormat="1" ht="14.25" customHeight="1" x14ac:dyDescent="0.2">
      <c r="B41" s="194"/>
      <c r="C41" s="194"/>
      <c r="D41" s="194"/>
      <c r="E41" s="194"/>
      <c r="F41" s="194"/>
      <c r="G41" s="151"/>
      <c r="H41" s="151"/>
      <c r="I41" s="151"/>
    </row>
    <row r="42" spans="2:9" s="83" customFormat="1" ht="14.25" customHeight="1" x14ac:dyDescent="0.2">
      <c r="B42" s="152"/>
      <c r="C42" s="152"/>
      <c r="D42" s="152"/>
      <c r="E42" s="152"/>
      <c r="F42" s="152"/>
      <c r="G42" s="151"/>
      <c r="H42" s="151"/>
      <c r="I42" s="151"/>
    </row>
    <row r="43" spans="2:9" s="83" customFormat="1" ht="14.25" customHeight="1" x14ac:dyDescent="0.2">
      <c r="B43" s="192" t="s">
        <v>36</v>
      </c>
      <c r="C43" s="192"/>
      <c r="D43" s="192"/>
      <c r="E43" s="192"/>
      <c r="F43" s="192"/>
      <c r="G43" s="153"/>
      <c r="H43" s="153"/>
      <c r="I43" s="153"/>
    </row>
    <row r="44" spans="2:9" s="83" customFormat="1" ht="14.25" customHeight="1" x14ac:dyDescent="0.2">
      <c r="B44" s="170" t="s">
        <v>37</v>
      </c>
      <c r="C44" s="170"/>
      <c r="D44" s="170"/>
      <c r="E44" s="170"/>
      <c r="F44" s="170"/>
      <c r="G44" s="154"/>
      <c r="H44" s="154"/>
      <c r="I44" s="154"/>
    </row>
    <row r="45" spans="2:9" s="83" customFormat="1" ht="14.25" customHeight="1" x14ac:dyDescent="0.2">
      <c r="B45" s="170" t="s">
        <v>38</v>
      </c>
      <c r="C45" s="170"/>
      <c r="D45" s="170"/>
      <c r="E45" s="170"/>
      <c r="F45" s="170"/>
      <c r="G45" s="154"/>
      <c r="H45" s="154"/>
      <c r="I45" s="154"/>
    </row>
    <row r="46" spans="2:9" s="83" customFormat="1" ht="14.25" customHeight="1" x14ac:dyDescent="0.2">
      <c r="B46" s="177" t="s">
        <v>39</v>
      </c>
      <c r="C46" s="177"/>
      <c r="D46" s="177"/>
      <c r="E46" s="177"/>
      <c r="F46" s="177"/>
      <c r="G46" s="153"/>
      <c r="H46" s="153"/>
      <c r="I46" s="153"/>
    </row>
    <row r="47" spans="2:9" s="83" customFormat="1" ht="14.25" customHeight="1" x14ac:dyDescent="0.2">
      <c r="B47" s="176" t="s">
        <v>40</v>
      </c>
      <c r="C47" s="176"/>
      <c r="D47" s="176"/>
      <c r="E47" s="176"/>
      <c r="F47" s="176"/>
      <c r="G47" s="155"/>
      <c r="H47" s="155"/>
      <c r="I47" s="155"/>
    </row>
    <row r="48" spans="2:9" s="83" customFormat="1" ht="14.25" customHeight="1" x14ac:dyDescent="0.2">
      <c r="B48" s="176" t="s">
        <v>41</v>
      </c>
      <c r="C48" s="176"/>
      <c r="D48" s="176"/>
      <c r="E48" s="176"/>
      <c r="F48" s="176"/>
      <c r="G48" s="155"/>
      <c r="H48" s="155"/>
      <c r="I48" s="155"/>
    </row>
    <row r="49" spans="2:46" s="83" customFormat="1" ht="14.25" customHeight="1" x14ac:dyDescent="0.2">
      <c r="B49" s="176"/>
      <c r="C49" s="176"/>
      <c r="D49" s="176"/>
      <c r="E49" s="176"/>
      <c r="F49" s="176"/>
      <c r="G49" s="155"/>
      <c r="H49" s="155"/>
      <c r="I49" s="155"/>
    </row>
    <row r="50" spans="2:46" s="83" customFormat="1" ht="14.25" customHeight="1" x14ac:dyDescent="0.2">
      <c r="B50" s="177" t="s">
        <v>42</v>
      </c>
      <c r="C50" s="177"/>
      <c r="D50" s="177"/>
      <c r="E50" s="177"/>
      <c r="F50" s="177"/>
      <c r="G50" s="153"/>
      <c r="H50" s="153"/>
      <c r="I50" s="153"/>
    </row>
    <row r="51" spans="2:46" s="83" customFormat="1" ht="14.25" customHeight="1" x14ac:dyDescent="0.2">
      <c r="B51" s="176" t="s">
        <v>43</v>
      </c>
      <c r="C51" s="176"/>
      <c r="D51" s="176"/>
      <c r="E51" s="176"/>
      <c r="F51" s="176"/>
      <c r="G51" s="155"/>
      <c r="H51" s="155"/>
      <c r="I51" s="155"/>
    </row>
    <row r="52" spans="2:46" s="83" customFormat="1" ht="14.25" customHeight="1" x14ac:dyDescent="0.2">
      <c r="B52" s="176"/>
      <c r="C52" s="176"/>
      <c r="D52" s="176"/>
      <c r="E52" s="176"/>
      <c r="F52" s="176"/>
      <c r="G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row>
    <row r="53" spans="2:46" s="156" customFormat="1" ht="14.25" customHeight="1" x14ac:dyDescent="0.2">
      <c r="B53" s="153"/>
      <c r="C53" s="153"/>
      <c r="D53" s="153"/>
      <c r="E53" s="153"/>
      <c r="F53" s="153"/>
      <c r="G53" s="153"/>
      <c r="H53" s="153"/>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3"/>
      <c r="AM53" s="153"/>
      <c r="AN53" s="153"/>
      <c r="AO53" s="153"/>
      <c r="AP53" s="153"/>
      <c r="AQ53" s="153"/>
      <c r="AR53" s="153"/>
      <c r="AS53" s="153"/>
      <c r="AT53" s="153"/>
    </row>
    <row r="54" spans="2:46" s="83" customFormat="1" ht="14.25" customHeight="1" x14ac:dyDescent="0.2">
      <c r="B54" s="157" t="s">
        <v>44</v>
      </c>
      <c r="C54" s="158"/>
      <c r="D54" s="159"/>
      <c r="E54" s="159"/>
      <c r="F54" s="159"/>
      <c r="G54" s="160"/>
      <c r="H54" s="160"/>
      <c r="I54" s="160"/>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row>
    <row r="55" spans="2:46" s="83" customFormat="1" ht="14.25" customHeight="1" x14ac:dyDescent="0.2">
      <c r="B55" s="159" t="s">
        <v>45</v>
      </c>
    </row>
    <row r="56" spans="2:46" s="83" customFormat="1" ht="14.25" customHeight="1" x14ac:dyDescent="0.2">
      <c r="B56" s="178" t="s">
        <v>46</v>
      </c>
      <c r="C56" s="178"/>
      <c r="D56" s="178"/>
      <c r="E56" s="178"/>
      <c r="F56" s="178"/>
    </row>
    <row r="57" spans="2:46" s="83" customFormat="1" ht="14.25" customHeight="1" x14ac:dyDescent="0.2">
      <c r="B57" s="178"/>
      <c r="C57" s="178"/>
      <c r="D57" s="178"/>
      <c r="E57" s="178"/>
      <c r="F57" s="178"/>
    </row>
    <row r="58" spans="2:46" s="83" customFormat="1" ht="14.25" customHeight="1" x14ac:dyDescent="0.2">
      <c r="B58" s="159" t="s">
        <v>47</v>
      </c>
    </row>
    <row r="59" spans="2:46" s="83" customFormat="1" ht="14.25" customHeight="1" x14ac:dyDescent="0.2">
      <c r="B59" s="174" t="s">
        <v>48</v>
      </c>
      <c r="C59" s="174"/>
      <c r="D59" s="174"/>
      <c r="E59" s="174"/>
      <c r="F59" s="174"/>
    </row>
    <row r="60" spans="2:46" s="83" customFormat="1" ht="14.25" customHeight="1" x14ac:dyDescent="0.2">
      <c r="B60" s="174"/>
      <c r="C60" s="174"/>
      <c r="D60" s="174"/>
      <c r="E60" s="174"/>
      <c r="F60" s="174"/>
    </row>
    <row r="61" spans="2:46" s="83" customFormat="1" ht="14.25" customHeight="1" x14ac:dyDescent="0.2">
      <c r="B61" s="174"/>
      <c r="C61" s="174"/>
      <c r="D61" s="174"/>
      <c r="E61" s="174"/>
      <c r="F61" s="174"/>
    </row>
    <row r="62" spans="2:46" s="83" customFormat="1" ht="14.25" customHeight="1" x14ac:dyDescent="0.2">
      <c r="B62" s="174"/>
      <c r="C62" s="174"/>
      <c r="D62" s="174"/>
      <c r="E62" s="174"/>
      <c r="F62" s="174"/>
    </row>
    <row r="63" spans="2:46" s="83" customFormat="1" ht="14.25" customHeight="1" x14ac:dyDescent="0.2">
      <c r="B63" s="175" t="s">
        <v>49</v>
      </c>
      <c r="C63" s="175"/>
      <c r="D63" s="175"/>
      <c r="E63" s="175"/>
      <c r="F63" s="175"/>
    </row>
    <row r="64" spans="2:46" s="83" customFormat="1" ht="14.25" customHeight="1" x14ac:dyDescent="0.2">
      <c r="B64" s="175"/>
      <c r="C64" s="175"/>
      <c r="D64" s="175"/>
      <c r="E64" s="175"/>
      <c r="F64" s="175"/>
    </row>
    <row r="65" spans="2:24" s="83" customFormat="1" ht="14.25" customHeight="1" x14ac:dyDescent="0.2">
      <c r="B65" s="93"/>
      <c r="C65" s="93"/>
      <c r="D65" s="93"/>
      <c r="E65" s="93"/>
      <c r="F65" s="93"/>
      <c r="G65" s="93"/>
      <c r="H65" s="93"/>
      <c r="I65" s="93"/>
      <c r="J65" s="93"/>
      <c r="K65" s="93"/>
      <c r="L65" s="93"/>
      <c r="M65" s="93"/>
      <c r="N65" s="93"/>
      <c r="O65" s="93"/>
      <c r="P65" s="93"/>
      <c r="Q65" s="93"/>
      <c r="R65" s="93"/>
      <c r="S65" s="93"/>
      <c r="T65" s="93"/>
      <c r="U65" s="93"/>
      <c r="V65" s="93"/>
      <c r="W65" s="93"/>
      <c r="X65" s="93"/>
    </row>
    <row r="66" spans="2:24" s="156" customFormat="1" ht="14.25" customHeight="1" x14ac:dyDescent="0.2">
      <c r="B66" s="161" t="s">
        <v>50</v>
      </c>
      <c r="C66" s="162"/>
      <c r="D66" s="163"/>
      <c r="E66" s="93"/>
      <c r="F66" s="93"/>
      <c r="G66" s="93"/>
      <c r="H66" s="93"/>
      <c r="I66" s="93"/>
      <c r="J66" s="93"/>
      <c r="K66" s="93"/>
      <c r="L66" s="93"/>
      <c r="M66" s="93"/>
      <c r="N66" s="93"/>
      <c r="O66" s="93"/>
      <c r="P66" s="93"/>
      <c r="Q66" s="93"/>
      <c r="R66" s="93"/>
      <c r="S66" s="93"/>
      <c r="T66" s="93"/>
      <c r="U66" s="93"/>
      <c r="V66" s="93"/>
      <c r="W66" s="93"/>
      <c r="X66" s="93"/>
    </row>
    <row r="67" spans="2:24" s="156" customFormat="1" ht="14.25" customHeight="1" x14ac:dyDescent="0.2">
      <c r="B67" s="181" t="s">
        <v>51</v>
      </c>
      <c r="C67" s="182"/>
      <c r="D67" s="182"/>
      <c r="E67" s="182"/>
      <c r="F67" s="182"/>
      <c r="G67" s="93"/>
      <c r="H67" s="93"/>
      <c r="I67" s="93"/>
      <c r="J67" s="93"/>
      <c r="K67" s="93"/>
      <c r="L67" s="93"/>
      <c r="M67" s="93"/>
      <c r="N67" s="93"/>
      <c r="O67" s="93"/>
      <c r="P67" s="93"/>
      <c r="Q67" s="93"/>
      <c r="R67" s="93"/>
      <c r="S67" s="93"/>
      <c r="T67" s="93"/>
      <c r="U67" s="93"/>
      <c r="V67" s="93"/>
      <c r="W67" s="93"/>
      <c r="X67" s="93"/>
    </row>
    <row r="68" spans="2:24" s="156" customFormat="1" ht="14.25" customHeight="1" x14ac:dyDescent="0.2">
      <c r="B68" s="181" t="s">
        <v>52</v>
      </c>
      <c r="C68" s="182"/>
      <c r="D68" s="182"/>
      <c r="E68" s="182"/>
      <c r="F68" s="182"/>
      <c r="G68" s="93"/>
      <c r="H68" s="93"/>
      <c r="I68" s="93"/>
      <c r="J68" s="93"/>
      <c r="K68" s="93"/>
      <c r="L68" s="93"/>
      <c r="M68" s="93"/>
      <c r="N68" s="93"/>
      <c r="O68" s="93"/>
      <c r="P68" s="93"/>
      <c r="Q68" s="93"/>
      <c r="R68" s="93"/>
      <c r="S68" s="93"/>
      <c r="T68" s="93"/>
      <c r="U68" s="93"/>
      <c r="V68" s="93"/>
      <c r="W68" s="93"/>
      <c r="X68" s="93"/>
    </row>
    <row r="69" spans="2:24" s="83" customFormat="1" ht="14.25" customHeight="1" x14ac:dyDescent="0.2">
      <c r="B69" s="93"/>
      <c r="C69" s="93"/>
      <c r="D69" s="93"/>
      <c r="E69" s="93"/>
      <c r="F69" s="93"/>
      <c r="G69" s="93"/>
      <c r="H69" s="93"/>
      <c r="I69" s="93"/>
      <c r="J69" s="93"/>
      <c r="K69" s="93"/>
      <c r="L69" s="93"/>
      <c r="M69" s="93"/>
      <c r="N69" s="93"/>
      <c r="O69" s="93"/>
      <c r="P69" s="93"/>
      <c r="Q69" s="93"/>
      <c r="R69" s="93"/>
      <c r="S69" s="93"/>
      <c r="T69" s="93"/>
      <c r="U69" s="93"/>
      <c r="V69" s="93"/>
      <c r="W69" s="93"/>
      <c r="X69" s="93"/>
    </row>
    <row r="70" spans="2:24" s="83" customFormat="1" ht="14.25" customHeight="1" x14ac:dyDescent="0.2">
      <c r="B70" s="157" t="s">
        <v>53</v>
      </c>
      <c r="C70" s="159"/>
      <c r="D70" s="159"/>
      <c r="E70" s="159"/>
      <c r="F70" s="159"/>
    </row>
    <row r="71" spans="2:24" s="83" customFormat="1" ht="14.25" customHeight="1" x14ac:dyDescent="0.2">
      <c r="B71" s="183" t="s">
        <v>54</v>
      </c>
      <c r="C71" s="184"/>
      <c r="D71" s="184"/>
      <c r="E71" s="184"/>
      <c r="F71" s="184"/>
    </row>
    <row r="72" spans="2:24" s="83" customFormat="1" ht="14.25" customHeight="1" x14ac:dyDescent="0.2">
      <c r="B72" s="183" t="s">
        <v>55</v>
      </c>
      <c r="C72" s="184"/>
      <c r="D72" s="159"/>
      <c r="E72" s="159"/>
      <c r="F72" s="159"/>
    </row>
    <row r="73" spans="2:24" s="83" customFormat="1" ht="14.25" customHeight="1" x14ac:dyDescent="0.2">
      <c r="B73" s="159" t="s">
        <v>56</v>
      </c>
      <c r="F73" s="159"/>
    </row>
    <row r="74" spans="2:24" s="83" customFormat="1" ht="14.25" customHeight="1" x14ac:dyDescent="0.2">
      <c r="B74" s="179" t="str">
        <f>HYPERLINK("mailto:churchvitality@febcentral.ca?subject=Staff Salary Guide", "Click here to email FEB Central Church Vitality")</f>
        <v>Click here to email FEB Central Church Vitality</v>
      </c>
      <c r="C74" s="180"/>
      <c r="D74" s="180"/>
      <c r="F74" s="159"/>
    </row>
    <row r="75" spans="2:24" s="83" customFormat="1" ht="14.25" customHeight="1" x14ac:dyDescent="0.2">
      <c r="B75" s="93"/>
      <c r="C75" s="93"/>
      <c r="D75" s="93"/>
      <c r="E75" s="93"/>
      <c r="F75" s="93"/>
      <c r="G75" s="93"/>
    </row>
    <row r="76" spans="2:24" s="83" customFormat="1" ht="14" x14ac:dyDescent="0.2">
      <c r="B76" s="93"/>
      <c r="C76" s="93"/>
      <c r="D76" s="93"/>
      <c r="E76" s="93"/>
      <c r="F76" s="93"/>
      <c r="G76" s="93"/>
    </row>
  </sheetData>
  <sheetProtection algorithmName="SHA-512" hashValue="wg47B9JcOZSHyy9IYiDSOn1YQ6QrO0xfn4EtIZbPciizokn7gAA4hoGChsQoigcQeeG5wqpGzVcDsQ0m9uJ/Jg==" saltValue="kUhSv30LBnodgclH/LVXuQ==" spinCount="100000" sheet="1" objects="1" scenarios="1"/>
  <protectedRanges>
    <protectedRange sqref="E14:E17" name="Range1"/>
  </protectedRanges>
  <mergeCells count="35">
    <mergeCell ref="B46:F46"/>
    <mergeCell ref="B8:F8"/>
    <mergeCell ref="B7:F7"/>
    <mergeCell ref="B9:F9"/>
    <mergeCell ref="B2:F2"/>
    <mergeCell ref="B11:F12"/>
    <mergeCell ref="B28:F29"/>
    <mergeCell ref="B19:F20"/>
    <mergeCell ref="B3:F3"/>
    <mergeCell ref="B43:F43"/>
    <mergeCell ref="B39:F41"/>
    <mergeCell ref="B44:F44"/>
    <mergeCell ref="B45:F45"/>
    <mergeCell ref="B35:F35"/>
    <mergeCell ref="B36:F36"/>
    <mergeCell ref="B37:F37"/>
    <mergeCell ref="B74:D74"/>
    <mergeCell ref="B67:F67"/>
    <mergeCell ref="B68:F68"/>
    <mergeCell ref="B71:F71"/>
    <mergeCell ref="B72:C72"/>
    <mergeCell ref="B59:F62"/>
    <mergeCell ref="B63:F64"/>
    <mergeCell ref="B47:F47"/>
    <mergeCell ref="B50:F50"/>
    <mergeCell ref="B48:F49"/>
    <mergeCell ref="B51:F52"/>
    <mergeCell ref="B56:F57"/>
    <mergeCell ref="B38:F38"/>
    <mergeCell ref="B6:F6"/>
    <mergeCell ref="B30:F30"/>
    <mergeCell ref="B31:F31"/>
    <mergeCell ref="B32:F32"/>
    <mergeCell ref="B33:F33"/>
    <mergeCell ref="B34:F34"/>
  </mergeCells>
  <dataValidations count="4">
    <dataValidation type="list" allowBlank="1" showInputMessage="1" showErrorMessage="1" errorTitle="Invalid selection" error="Please choose a value from the dropdown list." promptTitle="Select Location" prompt="Choose the community nearest to your church location" sqref="E14" xr:uid="{1D591694-27EB-42D9-B2B5-CF137FDB2BBC}">
      <formula1>SalaryGuide_HousingList</formula1>
    </dataValidation>
    <dataValidation type="list" allowBlank="1" showInputMessage="1" showErrorMessage="1" errorTitle="Invalid selection" error="Please choose a value from the dropdown list." promptTitle="Select Church Size" prompt="Choose your church's average attendance range" sqref="E15" xr:uid="{5AE33748-2FC3-475D-B814-FE946BD25F94}">
      <formula1>SalaryGuide_ChurchSizeList</formula1>
    </dataValidation>
    <dataValidation type="list" allowBlank="1" showInputMessage="1" showErrorMessage="1" errorTitle="Invalid selection" error="Please choose a value from the dropdown list." promptTitle="Select Experience" prompt="Choose years of ministry experience" sqref="E16" xr:uid="{D402A994-A3D6-45E1-918E-E8E97C4F76BB}">
      <formula1>SalaryGuide_ExperienceList</formula1>
    </dataValidation>
    <dataValidation type="list" allowBlank="1" showInputMessage="1" showErrorMessage="1" errorTitle="Invalid selection" error="Please choose a value from the dropdown list." promptTitle="Select Education" prompt="Choose highest theological education level" sqref="E17" xr:uid="{9F771BE3-C22D-4B9B-B2D0-461854A28C87}">
      <formula1>SalaryGuide_EducationList</formula1>
    </dataValidation>
  </dataValidations>
  <pageMargins left="0.75" right="0.75" top="1" bottom="1" header="0" footer="0"/>
  <pageSetup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EFFB4"/>
    <pageSetUpPr fitToPage="1"/>
  </sheetPr>
  <dimension ref="B2:O98"/>
  <sheetViews>
    <sheetView topLeftCell="A15" workbookViewId="0">
      <selection activeCell="B17" sqref="B17:I47"/>
    </sheetView>
  </sheetViews>
  <sheetFormatPr baseColWidth="10" defaultColWidth="10.140625" defaultRowHeight="15" customHeight="1" x14ac:dyDescent="0.2"/>
  <cols>
    <col min="1" max="1" width="2.7109375" customWidth="1"/>
    <col min="2" max="2" width="13.42578125" customWidth="1"/>
    <col min="3" max="3" width="11.7109375" customWidth="1"/>
    <col min="4" max="5" width="20.140625" customWidth="1"/>
    <col min="6" max="7" width="16.28515625" customWidth="1"/>
    <col min="8" max="9" width="15.5703125" customWidth="1"/>
    <col min="10" max="10" width="10.7109375" customWidth="1"/>
    <col min="11" max="11" width="11.85546875" customWidth="1"/>
    <col min="12" max="12" width="13.28515625" customWidth="1"/>
    <col min="13" max="13" width="8.7109375" customWidth="1"/>
    <col min="14" max="15" width="10.7109375" customWidth="1"/>
    <col min="16" max="16" width="8.7109375" customWidth="1"/>
    <col min="17" max="30" width="10.7109375" customWidth="1"/>
    <col min="31" max="33" width="11.28515625" customWidth="1"/>
  </cols>
  <sheetData>
    <row r="2" spans="2:9" s="21" customFormat="1" ht="28" x14ac:dyDescent="0.2">
      <c r="B2" s="45" t="s">
        <v>57</v>
      </c>
      <c r="C2" s="45"/>
      <c r="D2" s="45"/>
      <c r="E2" s="45"/>
      <c r="F2" s="45"/>
      <c r="G2" s="45"/>
      <c r="H2" s="45"/>
      <c r="I2" s="45"/>
    </row>
    <row r="3" spans="2:9" s="21" customFormat="1" ht="28" x14ac:dyDescent="0.2">
      <c r="B3" s="1" t="s">
        <v>58</v>
      </c>
      <c r="C3" s="45"/>
      <c r="D3" s="45"/>
      <c r="E3" s="45"/>
      <c r="F3" s="45"/>
      <c r="G3" s="45"/>
      <c r="H3" s="45"/>
      <c r="I3" s="45"/>
    </row>
    <row r="4" spans="2:9" s="21" customFormat="1" ht="28" x14ac:dyDescent="0.2">
      <c r="B4" s="45" t="s">
        <v>59</v>
      </c>
      <c r="C4" s="45"/>
      <c r="D4" s="45"/>
      <c r="E4" s="45"/>
      <c r="F4" s="45"/>
      <c r="G4" s="45"/>
      <c r="H4" s="45"/>
      <c r="I4" s="45"/>
    </row>
    <row r="5" spans="2:9" s="21" customFormat="1" ht="15.75" customHeight="1" x14ac:dyDescent="0.2">
      <c r="B5" s="196"/>
      <c r="C5" s="197"/>
      <c r="D5" s="197"/>
      <c r="E5" s="197"/>
      <c r="F5" s="197"/>
      <c r="G5" s="197"/>
      <c r="H5" s="197"/>
      <c r="I5" s="197"/>
    </row>
    <row r="6" spans="2:9" s="43" customFormat="1" ht="15.75" customHeight="1" x14ac:dyDescent="0.2">
      <c r="B6" s="46"/>
      <c r="C6" s="46"/>
      <c r="D6" s="46"/>
      <c r="E6" s="46"/>
      <c r="F6" s="46"/>
      <c r="G6" s="46"/>
      <c r="H6" s="66"/>
      <c r="I6" s="66"/>
    </row>
    <row r="7" spans="2:9" s="43" customFormat="1" ht="15.75" customHeight="1" x14ac:dyDescent="0.2">
      <c r="B7" s="44" t="s">
        <v>60</v>
      </c>
      <c r="C7" s="66"/>
      <c r="D7" s="66"/>
      <c r="E7" s="66"/>
      <c r="F7" s="66"/>
      <c r="G7" s="66"/>
      <c r="H7" s="66"/>
      <c r="I7" s="66"/>
    </row>
    <row r="8" spans="2:9" s="43" customFormat="1" ht="15.75" customHeight="1" x14ac:dyDescent="0.2">
      <c r="B8" s="47" t="s">
        <v>61</v>
      </c>
      <c r="C8" s="66"/>
      <c r="D8" s="66"/>
      <c r="E8" s="66"/>
      <c r="F8" s="66"/>
      <c r="G8" s="66"/>
      <c r="H8" s="66"/>
      <c r="I8" s="66"/>
    </row>
    <row r="9" spans="2:9" s="43" customFormat="1" ht="15" customHeight="1" x14ac:dyDescent="0.2">
      <c r="B9" s="66"/>
      <c r="C9" s="66"/>
      <c r="D9" s="66"/>
      <c r="E9" s="66"/>
      <c r="F9" s="66"/>
      <c r="G9" s="66"/>
      <c r="H9" s="66"/>
      <c r="I9" s="66"/>
    </row>
    <row r="10" spans="2:9" s="43" customFormat="1" ht="15.75" customHeight="1" x14ac:dyDescent="0.2">
      <c r="B10" s="44" t="s">
        <v>62</v>
      </c>
      <c r="C10" s="66"/>
      <c r="D10" s="66"/>
      <c r="E10" s="66"/>
      <c r="F10" s="66"/>
      <c r="G10" s="66"/>
      <c r="H10" s="66"/>
      <c r="I10" s="66"/>
    </row>
    <row r="11" spans="2:9" s="43" customFormat="1" ht="15.75" customHeight="1" x14ac:dyDescent="0.2">
      <c r="B11" s="44" t="s">
        <v>63</v>
      </c>
      <c r="C11" s="66"/>
      <c r="D11" s="66"/>
      <c r="E11" s="66"/>
      <c r="F11" s="66"/>
      <c r="G11" s="66"/>
      <c r="H11" s="66"/>
      <c r="I11" s="66"/>
    </row>
    <row r="12" spans="2:9" s="22" customFormat="1" ht="15.75" customHeight="1" x14ac:dyDescent="0.15">
      <c r="B12" s="64"/>
      <c r="C12" s="64"/>
      <c r="D12" s="64"/>
      <c r="E12" s="64"/>
      <c r="F12" s="64"/>
      <c r="G12" s="64"/>
      <c r="H12" s="64"/>
      <c r="I12" s="64"/>
    </row>
    <row r="13" spans="2:9" s="43" customFormat="1" ht="15.75" customHeight="1" x14ac:dyDescent="0.2">
      <c r="B13" s="42" t="s">
        <v>64</v>
      </c>
      <c r="C13" s="70"/>
      <c r="D13" s="70"/>
      <c r="E13" s="71">
        <v>28243</v>
      </c>
      <c r="F13" s="66"/>
      <c r="G13" s="66"/>
      <c r="H13" s="66"/>
      <c r="I13" s="66"/>
    </row>
    <row r="14" spans="2:9" s="22" customFormat="1" ht="15" customHeight="1" x14ac:dyDescent="0.15">
      <c r="B14" s="64"/>
      <c r="C14" s="64"/>
      <c r="D14" s="64"/>
      <c r="E14" s="64"/>
      <c r="F14" s="64"/>
      <c r="G14" s="64"/>
      <c r="H14" s="64"/>
      <c r="I14" s="64"/>
    </row>
    <row r="15" spans="2:9" s="22" customFormat="1" ht="15" customHeight="1" x14ac:dyDescent="0.15">
      <c r="B15" s="64"/>
      <c r="C15" s="64"/>
      <c r="D15" s="64"/>
      <c r="E15" s="64"/>
      <c r="F15" s="64"/>
      <c r="G15" s="64"/>
      <c r="H15" s="64"/>
      <c r="I15" s="64"/>
    </row>
    <row r="16" spans="2:9" s="22" customFormat="1" ht="15" customHeight="1" x14ac:dyDescent="0.15">
      <c r="B16" s="64"/>
      <c r="C16" s="64"/>
      <c r="D16" s="64"/>
      <c r="E16" s="64"/>
      <c r="F16" s="64"/>
      <c r="G16" s="64"/>
      <c r="H16" s="64"/>
      <c r="I16" s="64"/>
    </row>
    <row r="17" s="22" customFormat="1" ht="15.75" customHeight="1" x14ac:dyDescent="0.15"/>
    <row r="18" s="22" customFormat="1" ht="15.75" customHeight="1" x14ac:dyDescent="0.15"/>
    <row r="19" s="22" customFormat="1" ht="15.75" customHeight="1" x14ac:dyDescent="0.15"/>
    <row r="20" s="22" customFormat="1" ht="15.75" customHeight="1" x14ac:dyDescent="0.15"/>
    <row r="21" s="22" customFormat="1" ht="15.75" customHeight="1" x14ac:dyDescent="0.15"/>
    <row r="22" s="22" customFormat="1" ht="15.75" customHeight="1" x14ac:dyDescent="0.15"/>
    <row r="23" s="22" customFormat="1" ht="15.75" customHeight="1" x14ac:dyDescent="0.15"/>
    <row r="24" s="22" customFormat="1" ht="15.75" customHeight="1" x14ac:dyDescent="0.15"/>
    <row r="25" s="22" customFormat="1" ht="15.75" customHeight="1" x14ac:dyDescent="0.15"/>
    <row r="26" s="22" customFormat="1" ht="15.75" customHeight="1" x14ac:dyDescent="0.15"/>
    <row r="27" s="22" customFormat="1" ht="15.75" customHeight="1" x14ac:dyDescent="0.15"/>
    <row r="28" s="22" customFormat="1" ht="15.75" customHeight="1" x14ac:dyDescent="0.15"/>
    <row r="29" s="22" customFormat="1" ht="15.75" customHeight="1" x14ac:dyDescent="0.15"/>
    <row r="30" s="22" customFormat="1" ht="15.75" customHeight="1" x14ac:dyDescent="0.15"/>
    <row r="31" s="22" customFormat="1" ht="15.75" customHeight="1" x14ac:dyDescent="0.15"/>
    <row r="32" s="22" customFormat="1" ht="15.75" customHeight="1" x14ac:dyDescent="0.15"/>
    <row r="33" s="22" customFormat="1" ht="15.75" customHeight="1" x14ac:dyDescent="0.15"/>
    <row r="34" s="22" customFormat="1" ht="15.75" customHeight="1" x14ac:dyDescent="0.15"/>
    <row r="35" s="22" customFormat="1" ht="15.75" customHeight="1" x14ac:dyDescent="0.15"/>
    <row r="36" s="22" customFormat="1" ht="15.75" customHeight="1" x14ac:dyDescent="0.15"/>
    <row r="37" s="22" customFormat="1" ht="15.75" customHeight="1" x14ac:dyDescent="0.15"/>
    <row r="38" s="22" customFormat="1" ht="15.75" customHeight="1" x14ac:dyDescent="0.15"/>
    <row r="39" s="22" customFormat="1" ht="15.75" customHeight="1" x14ac:dyDescent="0.15"/>
    <row r="40" s="22" customFormat="1" ht="15.75" customHeight="1" x14ac:dyDescent="0.15"/>
    <row r="41" s="22" customFormat="1" ht="15.75" customHeight="1" x14ac:dyDescent="0.15"/>
    <row r="42" s="22" customFormat="1" ht="15.75" customHeight="1" x14ac:dyDescent="0.15"/>
    <row r="43" s="22" customFormat="1" ht="15.75" customHeight="1" x14ac:dyDescent="0.15"/>
    <row r="44" s="22" customFormat="1" ht="15.75" customHeight="1" x14ac:dyDescent="0.15"/>
    <row r="45" s="22" customFormat="1" ht="15.75" customHeight="1" x14ac:dyDescent="0.15"/>
    <row r="46" s="22" customFormat="1" ht="15.75" customHeight="1" x14ac:dyDescent="0.15"/>
    <row r="47" s="22" customFormat="1" ht="15.75" customHeight="1" x14ac:dyDescent="0.15"/>
    <row r="48" s="22" customFormat="1" ht="15" customHeight="1" x14ac:dyDescent="0.15"/>
    <row r="49" spans="2:15" s="43" customFormat="1" ht="15.75" customHeight="1" x14ac:dyDescent="0.2">
      <c r="B49" s="48" t="s">
        <v>65</v>
      </c>
      <c r="C49" s="66"/>
      <c r="D49" s="66"/>
      <c r="E49" s="66"/>
      <c r="F49" s="66"/>
      <c r="G49" s="66"/>
      <c r="H49" s="48"/>
      <c r="I49" s="66"/>
      <c r="J49" s="66"/>
      <c r="K49" s="66"/>
      <c r="L49" s="66"/>
      <c r="M49" s="48"/>
      <c r="N49" s="66"/>
      <c r="O49" s="66"/>
    </row>
    <row r="50" spans="2:15" s="43" customFormat="1" ht="15.75" customHeight="1" x14ac:dyDescent="0.2">
      <c r="B50" s="66" t="s">
        <v>66</v>
      </c>
      <c r="C50" s="66"/>
      <c r="D50" s="66"/>
      <c r="E50" s="66"/>
      <c r="F50" s="66"/>
      <c r="G50" s="66"/>
      <c r="H50" s="66"/>
      <c r="I50" s="66"/>
      <c r="J50" s="66"/>
      <c r="K50" s="66"/>
      <c r="L50" s="66"/>
      <c r="M50" s="66"/>
      <c r="N50" s="66"/>
      <c r="O50" s="66"/>
    </row>
    <row r="51" spans="2:15" s="43" customFormat="1" ht="15.75" customHeight="1" x14ac:dyDescent="0.2">
      <c r="B51" s="66" t="s">
        <v>67</v>
      </c>
      <c r="C51" s="66"/>
      <c r="D51" s="66"/>
      <c r="E51" s="66"/>
      <c r="F51" s="66"/>
      <c r="G51" s="66"/>
      <c r="H51" s="66"/>
      <c r="I51" s="66"/>
      <c r="J51" s="66"/>
      <c r="K51" s="66"/>
      <c r="L51" s="66"/>
      <c r="M51" s="66"/>
      <c r="N51" s="66"/>
      <c r="O51" s="66"/>
    </row>
    <row r="52" spans="2:15" s="43" customFormat="1" ht="15.75" customHeight="1" x14ac:dyDescent="0.2">
      <c r="B52" s="66" t="s">
        <v>68</v>
      </c>
      <c r="C52" s="66"/>
      <c r="D52" s="66"/>
      <c r="E52" s="66"/>
      <c r="F52" s="66"/>
      <c r="G52" s="66"/>
      <c r="H52" s="66"/>
      <c r="I52" s="66"/>
      <c r="J52" s="66"/>
      <c r="K52" s="66"/>
      <c r="L52" s="66"/>
      <c r="M52" s="66"/>
      <c r="N52" s="66"/>
      <c r="O52" s="66"/>
    </row>
    <row r="53" spans="2:15" s="43" customFormat="1" ht="15.75" customHeight="1" x14ac:dyDescent="0.2">
      <c r="B53" s="66" t="s">
        <v>69</v>
      </c>
      <c r="C53" s="66"/>
      <c r="D53" s="66"/>
      <c r="E53" s="66"/>
      <c r="F53" s="66"/>
      <c r="G53" s="66"/>
      <c r="H53" s="66"/>
      <c r="I53" s="66"/>
      <c r="J53" s="66"/>
      <c r="K53" s="66"/>
      <c r="L53" s="66"/>
      <c r="M53" s="66"/>
      <c r="N53" s="66"/>
      <c r="O53" s="66"/>
    </row>
    <row r="54" spans="2:15" s="43" customFormat="1" ht="15.75" customHeight="1" x14ac:dyDescent="0.2">
      <c r="B54" s="66" t="s">
        <v>70</v>
      </c>
      <c r="C54" s="66"/>
      <c r="D54" s="66"/>
      <c r="E54" s="66"/>
      <c r="F54" s="66"/>
      <c r="G54" s="66"/>
      <c r="H54" s="66"/>
      <c r="I54" s="66"/>
      <c r="J54" s="66"/>
      <c r="K54" s="66"/>
      <c r="L54" s="66"/>
      <c r="M54" s="66"/>
      <c r="N54" s="66"/>
      <c r="O54" s="66"/>
    </row>
    <row r="55" spans="2:15" s="22" customFormat="1" ht="15.75" customHeight="1" x14ac:dyDescent="0.15">
      <c r="B55" s="64"/>
      <c r="C55" s="64"/>
      <c r="D55" s="64"/>
      <c r="E55" s="64"/>
      <c r="F55" s="64"/>
      <c r="G55" s="64"/>
      <c r="H55" s="23"/>
      <c r="I55" s="23"/>
      <c r="J55" s="64"/>
      <c r="K55" s="64"/>
      <c r="L55" s="25"/>
      <c r="M55" s="64"/>
      <c r="N55" s="64"/>
      <c r="O55" s="64"/>
    </row>
    <row r="56" spans="2:15" ht="15.75" customHeight="1" x14ac:dyDescent="0.2">
      <c r="B56" s="2"/>
      <c r="C56" s="4"/>
      <c r="D56" s="4"/>
      <c r="E56" s="4"/>
      <c r="F56" s="4"/>
      <c r="G56" s="4"/>
      <c r="H56" s="9"/>
      <c r="I56" s="10"/>
      <c r="J56" s="4"/>
      <c r="K56" s="4"/>
      <c r="L56" s="4"/>
    </row>
    <row r="57" spans="2:15" s="49" customFormat="1" ht="15.75" customHeight="1" x14ac:dyDescent="0.2">
      <c r="B57" s="198" t="s">
        <v>71</v>
      </c>
      <c r="C57" s="199"/>
      <c r="D57" s="199"/>
      <c r="E57" s="199"/>
      <c r="F57" s="64"/>
      <c r="G57" s="64"/>
      <c r="H57" s="200" t="s">
        <v>72</v>
      </c>
      <c r="I57" s="199"/>
      <c r="J57" s="201" t="s">
        <v>73</v>
      </c>
      <c r="K57" s="202"/>
      <c r="L57" s="64"/>
      <c r="M57" s="50"/>
      <c r="N57" s="64"/>
      <c r="O57" s="64"/>
    </row>
    <row r="58" spans="2:15" ht="15.75" customHeight="1" x14ac:dyDescent="0.2">
      <c r="B58" s="3" t="s">
        <v>74</v>
      </c>
      <c r="C58" s="11">
        <v>2025</v>
      </c>
      <c r="D58" s="11">
        <v>2024</v>
      </c>
      <c r="E58" s="11">
        <v>2023</v>
      </c>
      <c r="F58" s="11">
        <v>2022</v>
      </c>
      <c r="H58" s="6" t="s">
        <v>75</v>
      </c>
      <c r="I58" s="6" t="s">
        <v>76</v>
      </c>
      <c r="J58" s="7" t="s">
        <v>77</v>
      </c>
      <c r="K58" s="7" t="s">
        <v>78</v>
      </c>
      <c r="L58" s="12" t="s">
        <v>79</v>
      </c>
      <c r="M58" s="18" t="s">
        <v>80</v>
      </c>
      <c r="N58" t="e">
        <f>IF(N59=0,0,N59*Settings!$C$19)</f>
        <v>#VALUE!</v>
      </c>
    </row>
    <row r="59" spans="2:15" ht="15.75" customHeight="1" x14ac:dyDescent="0.2">
      <c r="B59" s="2" t="s">
        <v>81</v>
      </c>
      <c r="C59" s="13">
        <v>220000</v>
      </c>
      <c r="D59" s="4">
        <v>300000</v>
      </c>
      <c r="E59" s="4">
        <v>315617</v>
      </c>
      <c r="F59" s="4">
        <v>300000</v>
      </c>
      <c r="H59" s="4">
        <f t="shared" ref="H59:H87" si="0">CEILING(D59,25000)</f>
        <v>300000</v>
      </c>
      <c r="I59" s="4">
        <f t="shared" ref="I59:I87" si="1">IF((C59-D59)&gt;25000,H59+25000,H59)</f>
        <v>300000</v>
      </c>
      <c r="J59" s="4" t="e">
        <f t="shared" ref="J59:J87" si="2">-PMT(Interest / 12, Amort * 12, Principle * C59) + Util + Tax</f>
        <v>#NAME?</v>
      </c>
      <c r="K59" s="4" t="e">
        <f t="shared" ref="K59:K87" si="3">+J59 * 12</f>
        <v>#NAME?</v>
      </c>
      <c r="L59" s="14"/>
      <c r="M59" s="19" t="e">
        <f t="shared" ref="M59:M87" si="4">IF(I59&gt;H59,(L59*COLA)+Housingadj,(L59*COLA))</f>
        <v>#VALUE!</v>
      </c>
      <c r="N59" t="e">
        <f>IF(N60=0,0,N60*Settings!$C$19)</f>
        <v>#VALUE!</v>
      </c>
      <c r="O59" t="e">
        <f>IF(N59=0,0,N59*#REF!)</f>
        <v>#VALUE!</v>
      </c>
    </row>
    <row r="60" spans="2:15" ht="15.75" customHeight="1" x14ac:dyDescent="0.2">
      <c r="B60" s="2" t="s">
        <v>82</v>
      </c>
      <c r="C60" s="13">
        <v>598850</v>
      </c>
      <c r="D60" s="4">
        <v>500000</v>
      </c>
      <c r="E60" s="4">
        <v>524000</v>
      </c>
      <c r="F60" s="4">
        <v>450000</v>
      </c>
      <c r="H60" s="4">
        <f t="shared" si="0"/>
        <v>500000</v>
      </c>
      <c r="I60" s="4">
        <f t="shared" si="1"/>
        <v>525000</v>
      </c>
      <c r="J60" s="4" t="e">
        <f t="shared" si="2"/>
        <v>#NAME?</v>
      </c>
      <c r="K60" s="4" t="e">
        <f t="shared" si="3"/>
        <v>#NAME?</v>
      </c>
      <c r="L60" s="14">
        <v>7453</v>
      </c>
      <c r="M60" s="19" t="e">
        <f t="shared" si="4"/>
        <v>#VALUE!</v>
      </c>
      <c r="N60" t="e">
        <f>IF(N61=0,0,N61*Settings!$C$19)</f>
        <v>#VALUE!</v>
      </c>
      <c r="O60" t="e">
        <f>IF(N60=0,0,N60*#REF!)</f>
        <v>#VALUE!</v>
      </c>
    </row>
    <row r="61" spans="2:15" ht="15.75" customHeight="1" x14ac:dyDescent="0.2">
      <c r="B61" s="2" t="s">
        <v>83</v>
      </c>
      <c r="C61" s="13">
        <v>616000</v>
      </c>
      <c r="D61" s="4">
        <v>527000</v>
      </c>
      <c r="E61" s="4">
        <v>567000</v>
      </c>
      <c r="F61" s="4">
        <v>550000</v>
      </c>
      <c r="H61" s="4">
        <f t="shared" si="0"/>
        <v>550000</v>
      </c>
      <c r="I61" s="4">
        <f t="shared" si="1"/>
        <v>575000</v>
      </c>
      <c r="J61" s="4" t="e">
        <f t="shared" si="2"/>
        <v>#NAME?</v>
      </c>
      <c r="K61" s="4" t="e">
        <f t="shared" si="3"/>
        <v>#NAME?</v>
      </c>
      <c r="L61" s="14">
        <v>9291</v>
      </c>
      <c r="M61" s="19" t="e">
        <f t="shared" si="4"/>
        <v>#VALUE!</v>
      </c>
      <c r="N61" t="e">
        <f>IF(N62=0,0,N62*Settings!$C$19)</f>
        <v>#VALUE!</v>
      </c>
      <c r="O61" t="e">
        <f>IF(N61=0,0,N61*#REF!)</f>
        <v>#VALUE!</v>
      </c>
    </row>
    <row r="62" spans="2:15" ht="15.75" customHeight="1" x14ac:dyDescent="0.2">
      <c r="B62" s="2" t="s">
        <v>84</v>
      </c>
      <c r="C62" s="13">
        <v>629000</v>
      </c>
      <c r="D62" s="4">
        <v>631000</v>
      </c>
      <c r="E62" s="4">
        <v>597907</v>
      </c>
      <c r="F62" s="4">
        <v>0</v>
      </c>
      <c r="H62" s="4">
        <f t="shared" si="0"/>
        <v>650000</v>
      </c>
      <c r="I62" s="4">
        <f t="shared" si="1"/>
        <v>650000</v>
      </c>
      <c r="J62" s="4" t="e">
        <f t="shared" si="2"/>
        <v>#NAME?</v>
      </c>
      <c r="K62" s="4" t="e">
        <f t="shared" si="3"/>
        <v>#NAME?</v>
      </c>
      <c r="L62" s="14">
        <v>11129</v>
      </c>
      <c r="M62" s="19" t="e">
        <f t="shared" si="4"/>
        <v>#VALUE!</v>
      </c>
      <c r="N62" t="e">
        <f>IF(N63=0,0,N63*Settings!$C$19)</f>
        <v>#VALUE!</v>
      </c>
      <c r="O62" t="e">
        <f>IF(N62=0,0,N62*#REF!)</f>
        <v>#VALUE!</v>
      </c>
    </row>
    <row r="63" spans="2:15" ht="15.75" customHeight="1" x14ac:dyDescent="0.2">
      <c r="B63" s="2" t="s">
        <v>85</v>
      </c>
      <c r="C63" s="13">
        <v>663000</v>
      </c>
      <c r="D63" s="4">
        <v>629000</v>
      </c>
      <c r="E63" s="4">
        <v>584000</v>
      </c>
      <c r="F63" s="4">
        <v>0</v>
      </c>
      <c r="H63" s="4">
        <f t="shared" si="0"/>
        <v>650000</v>
      </c>
      <c r="I63" s="4">
        <f t="shared" si="1"/>
        <v>675000</v>
      </c>
      <c r="J63" s="4" t="e">
        <f t="shared" si="2"/>
        <v>#NAME?</v>
      </c>
      <c r="K63" s="4" t="e">
        <f t="shared" si="3"/>
        <v>#NAME?</v>
      </c>
      <c r="L63" s="14">
        <v>11129</v>
      </c>
      <c r="M63" s="19" t="e">
        <f t="shared" si="4"/>
        <v>#VALUE!</v>
      </c>
      <c r="N63" t="e">
        <f>IF(N64=0,0,N64*Settings!$C$19)</f>
        <v>#VALUE!</v>
      </c>
      <c r="O63" t="e">
        <f>IF(N63=0,0,N63*#REF!)</f>
        <v>#VALUE!</v>
      </c>
    </row>
    <row r="64" spans="2:15" ht="15.75" customHeight="1" x14ac:dyDescent="0.2">
      <c r="B64" s="2" t="s">
        <v>86</v>
      </c>
      <c r="C64" s="13">
        <v>670000</v>
      </c>
      <c r="D64" s="4">
        <v>629000</v>
      </c>
      <c r="E64" s="4">
        <v>597000</v>
      </c>
      <c r="F64" s="4">
        <v>550000</v>
      </c>
      <c r="H64" s="4">
        <f t="shared" si="0"/>
        <v>650000</v>
      </c>
      <c r="I64" s="4">
        <f t="shared" si="1"/>
        <v>675000</v>
      </c>
      <c r="J64" s="4" t="e">
        <f t="shared" si="2"/>
        <v>#NAME?</v>
      </c>
      <c r="K64" s="4" t="e">
        <f t="shared" si="3"/>
        <v>#NAME?</v>
      </c>
      <c r="L64" s="14">
        <v>11129</v>
      </c>
      <c r="M64" s="19" t="e">
        <f t="shared" si="4"/>
        <v>#VALUE!</v>
      </c>
      <c r="N64" t="e">
        <f>IF(N65=0,0,N65*Settings!$C$19)</f>
        <v>#VALUE!</v>
      </c>
      <c r="O64" t="e">
        <f>IF(N64=0,0,N64*#REF!)</f>
        <v>#VALUE!</v>
      </c>
    </row>
    <row r="65" spans="2:15" ht="15.75" customHeight="1" x14ac:dyDescent="0.2">
      <c r="B65" s="2" t="s">
        <v>87</v>
      </c>
      <c r="C65" s="13">
        <v>569000</v>
      </c>
      <c r="D65" s="4">
        <v>608000</v>
      </c>
      <c r="E65" s="4">
        <v>603000</v>
      </c>
      <c r="F65" s="4">
        <v>500000</v>
      </c>
      <c r="H65" s="4">
        <f t="shared" si="0"/>
        <v>625000</v>
      </c>
      <c r="I65" s="4">
        <f t="shared" si="1"/>
        <v>625000</v>
      </c>
      <c r="J65" s="4" t="e">
        <f t="shared" si="2"/>
        <v>#NAME?</v>
      </c>
      <c r="K65" s="4" t="e">
        <f t="shared" si="3"/>
        <v>#NAME?</v>
      </c>
      <c r="L65" s="14">
        <v>11027</v>
      </c>
      <c r="M65" s="19" t="e">
        <f t="shared" si="4"/>
        <v>#VALUE!</v>
      </c>
      <c r="N65" t="e">
        <f>IF(N66=0,0,N66*Settings!$C$19)</f>
        <v>#VALUE!</v>
      </c>
      <c r="O65" t="e">
        <f>IF(N65=0,0,N65*#REF!)</f>
        <v>#VALUE!</v>
      </c>
    </row>
    <row r="66" spans="2:15" ht="15.75" customHeight="1" x14ac:dyDescent="0.2">
      <c r="B66" s="2" t="s">
        <v>88</v>
      </c>
      <c r="C66" s="13">
        <v>650000</v>
      </c>
      <c r="D66" s="4">
        <v>685000</v>
      </c>
      <c r="E66" s="4">
        <v>619395</v>
      </c>
      <c r="F66" s="4">
        <v>525000</v>
      </c>
      <c r="H66" s="4">
        <f t="shared" si="0"/>
        <v>700000</v>
      </c>
      <c r="I66" s="4">
        <f t="shared" si="1"/>
        <v>700000</v>
      </c>
      <c r="J66" s="4" t="e">
        <f t="shared" si="2"/>
        <v>#NAME?</v>
      </c>
      <c r="K66" s="4" t="e">
        <f t="shared" si="3"/>
        <v>#NAME?</v>
      </c>
      <c r="L66" s="14">
        <v>12048</v>
      </c>
      <c r="M66" s="19" t="e">
        <f t="shared" si="4"/>
        <v>#VALUE!</v>
      </c>
      <c r="N66" t="e">
        <f>IF(N67=0,0,N67*Settings!$C$19)</f>
        <v>#VALUE!</v>
      </c>
      <c r="O66" t="e">
        <f>IF(N66=0,0,N66*#REF!)</f>
        <v>#VALUE!</v>
      </c>
    </row>
    <row r="67" spans="2:15" ht="15.75" customHeight="1" x14ac:dyDescent="0.2">
      <c r="B67" s="2" t="s">
        <v>89</v>
      </c>
      <c r="C67" s="13">
        <v>519000</v>
      </c>
      <c r="D67" s="4">
        <v>535000</v>
      </c>
      <c r="E67" s="4">
        <v>616000</v>
      </c>
      <c r="F67" s="4">
        <v>475000</v>
      </c>
      <c r="H67" s="4">
        <f t="shared" si="0"/>
        <v>550000</v>
      </c>
      <c r="I67" s="4">
        <f t="shared" si="1"/>
        <v>550000</v>
      </c>
      <c r="J67" s="4" t="e">
        <f t="shared" si="2"/>
        <v>#NAME?</v>
      </c>
      <c r="K67" s="4" t="e">
        <f t="shared" si="3"/>
        <v>#NAME?</v>
      </c>
      <c r="L67" s="14">
        <v>11129</v>
      </c>
      <c r="M67" s="19" t="e">
        <f t="shared" si="4"/>
        <v>#VALUE!</v>
      </c>
      <c r="N67" t="e">
        <f>IF(N68=0,0,N68*Settings!$C$19)</f>
        <v>#VALUE!</v>
      </c>
      <c r="O67" t="e">
        <f>IF(N67=0,0,N67*#REF!)</f>
        <v>#VALUE!</v>
      </c>
    </row>
    <row r="68" spans="2:15" ht="15.75" customHeight="1" x14ac:dyDescent="0.2">
      <c r="B68" s="2" t="s">
        <v>90</v>
      </c>
      <c r="C68" s="13">
        <v>670000</v>
      </c>
      <c r="D68" s="4">
        <v>671321</v>
      </c>
      <c r="E68" s="4">
        <v>671321</v>
      </c>
      <c r="F68" s="4">
        <v>500000</v>
      </c>
      <c r="H68" s="4">
        <f t="shared" si="0"/>
        <v>675000</v>
      </c>
      <c r="I68" s="4">
        <f t="shared" si="1"/>
        <v>675000</v>
      </c>
      <c r="J68" s="4" t="e">
        <f t="shared" si="2"/>
        <v>#NAME?</v>
      </c>
      <c r="K68" s="4" t="e">
        <f t="shared" si="3"/>
        <v>#NAME?</v>
      </c>
      <c r="L68" s="14">
        <v>12967</v>
      </c>
      <c r="M68" s="19" t="e">
        <f t="shared" si="4"/>
        <v>#VALUE!</v>
      </c>
      <c r="N68" t="e">
        <f>IF(N69=0,0,N69*Settings!$C$19)</f>
        <v>#VALUE!</v>
      </c>
      <c r="O68" t="e">
        <f>IF(N68=0,0,N68*#REF!)</f>
        <v>#VALUE!</v>
      </c>
    </row>
    <row r="69" spans="2:15" ht="15.75" customHeight="1" x14ac:dyDescent="0.2">
      <c r="B69" s="2" t="s">
        <v>91</v>
      </c>
      <c r="C69" s="13">
        <v>626000</v>
      </c>
      <c r="D69" s="4">
        <v>674000</v>
      </c>
      <c r="E69" s="4">
        <v>688150</v>
      </c>
      <c r="F69" s="4">
        <v>600000</v>
      </c>
      <c r="H69" s="4">
        <f t="shared" si="0"/>
        <v>675000</v>
      </c>
      <c r="I69" s="4">
        <f t="shared" si="1"/>
        <v>675000</v>
      </c>
      <c r="J69" s="4" t="e">
        <f t="shared" si="2"/>
        <v>#NAME?</v>
      </c>
      <c r="K69" s="4" t="e">
        <f t="shared" si="3"/>
        <v>#NAME?</v>
      </c>
      <c r="L69" s="14">
        <v>13886</v>
      </c>
      <c r="M69" s="19" t="e">
        <f t="shared" si="4"/>
        <v>#VALUE!</v>
      </c>
      <c r="N69" t="e">
        <f>IF(N70=0,0,N70*Settings!$C$19)</f>
        <v>#VALUE!</v>
      </c>
      <c r="O69" t="e">
        <f>IF(N69=0,0,N69*#REF!)</f>
        <v>#VALUE!</v>
      </c>
    </row>
    <row r="70" spans="2:15" ht="15.75" customHeight="1" x14ac:dyDescent="0.2">
      <c r="B70" s="2" t="s">
        <v>92</v>
      </c>
      <c r="C70" s="13">
        <v>637000</v>
      </c>
      <c r="D70" s="4">
        <v>746000</v>
      </c>
      <c r="E70" s="4">
        <v>704000</v>
      </c>
      <c r="F70" s="4">
        <v>650000</v>
      </c>
      <c r="H70" s="4">
        <f t="shared" si="0"/>
        <v>750000</v>
      </c>
      <c r="I70" s="4">
        <f t="shared" si="1"/>
        <v>750000</v>
      </c>
      <c r="J70" s="4" t="e">
        <f t="shared" si="2"/>
        <v>#NAME?</v>
      </c>
      <c r="K70" s="4" t="e">
        <f t="shared" si="3"/>
        <v>#NAME?</v>
      </c>
      <c r="L70" s="14">
        <v>15723</v>
      </c>
      <c r="M70" s="19" t="e">
        <f t="shared" si="4"/>
        <v>#VALUE!</v>
      </c>
      <c r="N70" t="e">
        <f>IF(N71=0,0,N71*Settings!$C$19)</f>
        <v>#VALUE!</v>
      </c>
      <c r="O70" t="e">
        <f>IF(N70=0,0,N70*#REF!)</f>
        <v>#VALUE!</v>
      </c>
    </row>
    <row r="71" spans="2:15" ht="15.75" customHeight="1" x14ac:dyDescent="0.2">
      <c r="B71" s="2" t="s">
        <v>93</v>
      </c>
      <c r="C71" s="13">
        <v>534000</v>
      </c>
      <c r="D71" s="4">
        <v>577000</v>
      </c>
      <c r="E71" s="4">
        <v>646000</v>
      </c>
      <c r="F71" s="4">
        <v>500000</v>
      </c>
      <c r="H71" s="4">
        <f t="shared" si="0"/>
        <v>600000</v>
      </c>
      <c r="I71" s="4">
        <f t="shared" si="1"/>
        <v>600000</v>
      </c>
      <c r="J71" s="4" t="e">
        <f t="shared" si="2"/>
        <v>#NAME?</v>
      </c>
      <c r="K71" s="4" t="e">
        <f t="shared" si="3"/>
        <v>#NAME?</v>
      </c>
      <c r="L71" s="14">
        <v>15723</v>
      </c>
      <c r="M71" s="19" t="e">
        <f t="shared" si="4"/>
        <v>#VALUE!</v>
      </c>
      <c r="N71" t="e">
        <f>IF(N72=0,0,N72*Settings!$C$19)</f>
        <v>#VALUE!</v>
      </c>
      <c r="O71" t="e">
        <f>IF(N71=0,0,N71*#REF!)</f>
        <v>#VALUE!</v>
      </c>
    </row>
    <row r="72" spans="2:15" ht="15.75" customHeight="1" x14ac:dyDescent="0.2">
      <c r="B72" s="2" t="s">
        <v>94</v>
      </c>
      <c r="C72" s="13">
        <v>658000</v>
      </c>
      <c r="D72" s="4">
        <v>728000</v>
      </c>
      <c r="E72" s="4">
        <v>744000</v>
      </c>
      <c r="F72" s="4">
        <v>700000</v>
      </c>
      <c r="H72" s="4">
        <f t="shared" si="0"/>
        <v>750000</v>
      </c>
      <c r="I72" s="4">
        <f t="shared" si="1"/>
        <v>750000</v>
      </c>
      <c r="J72" s="4" t="e">
        <f t="shared" si="2"/>
        <v>#NAME?</v>
      </c>
      <c r="K72" s="4" t="e">
        <f t="shared" si="3"/>
        <v>#NAME?</v>
      </c>
      <c r="L72" s="14">
        <v>15723</v>
      </c>
      <c r="M72" s="19" t="e">
        <f t="shared" si="4"/>
        <v>#VALUE!</v>
      </c>
      <c r="N72" t="e">
        <f>IF(N73=0,0,N73*Settings!$C$19)</f>
        <v>#VALUE!</v>
      </c>
      <c r="O72" t="e">
        <f>IF(N72=0,0,N72*#REF!)</f>
        <v>#VALUE!</v>
      </c>
    </row>
    <row r="73" spans="2:15" ht="15.75" customHeight="1" x14ac:dyDescent="0.2">
      <c r="B73" s="2" t="s">
        <v>9</v>
      </c>
      <c r="C73" s="13">
        <v>688000</v>
      </c>
      <c r="D73" s="4">
        <v>796000</v>
      </c>
      <c r="E73" s="4">
        <v>739000</v>
      </c>
      <c r="F73" s="4">
        <v>750000</v>
      </c>
      <c r="H73" s="4">
        <f t="shared" si="0"/>
        <v>800000</v>
      </c>
      <c r="I73" s="4">
        <f t="shared" si="1"/>
        <v>800000</v>
      </c>
      <c r="J73" s="4" t="e">
        <f t="shared" si="2"/>
        <v>#NAME?</v>
      </c>
      <c r="K73" s="4" t="e">
        <f t="shared" si="3"/>
        <v>#NAME?</v>
      </c>
      <c r="L73" s="14">
        <v>15723</v>
      </c>
      <c r="M73" s="19" t="e">
        <f t="shared" si="4"/>
        <v>#VALUE!</v>
      </c>
      <c r="N73" t="e">
        <f>IF(N74=0,0,N74*Settings!$C$19)</f>
        <v>#VALUE!</v>
      </c>
      <c r="O73" t="e">
        <f>IF(N73=0,0,N73*#REF!)</f>
        <v>#VALUE!</v>
      </c>
    </row>
    <row r="74" spans="2:15" ht="15.75" customHeight="1" x14ac:dyDescent="0.2">
      <c r="B74" s="2" t="s">
        <v>95</v>
      </c>
      <c r="C74" s="13">
        <v>631000</v>
      </c>
      <c r="D74" s="4">
        <v>630000</v>
      </c>
      <c r="E74" s="4">
        <v>733490</v>
      </c>
      <c r="F74" s="4">
        <v>600000</v>
      </c>
      <c r="H74" s="4">
        <f t="shared" si="0"/>
        <v>650000</v>
      </c>
      <c r="I74" s="4">
        <f t="shared" si="1"/>
        <v>650000</v>
      </c>
      <c r="J74" s="4" t="e">
        <f t="shared" si="2"/>
        <v>#NAME?</v>
      </c>
      <c r="K74" s="4" t="e">
        <f t="shared" si="3"/>
        <v>#NAME?</v>
      </c>
      <c r="L74" s="14">
        <v>15723</v>
      </c>
      <c r="M74" s="19" t="e">
        <f t="shared" si="4"/>
        <v>#VALUE!</v>
      </c>
      <c r="N74" t="e">
        <f>IF(N75=0,0,N75*Settings!$C$19)</f>
        <v>#VALUE!</v>
      </c>
      <c r="O74" t="e">
        <f>IF(N74=0,0,N74*#REF!)</f>
        <v>#VALUE!</v>
      </c>
    </row>
    <row r="75" spans="2:15" ht="15.75" customHeight="1" x14ac:dyDescent="0.2">
      <c r="B75" s="2" t="s">
        <v>96</v>
      </c>
      <c r="C75" s="13">
        <v>732000</v>
      </c>
      <c r="D75" s="4">
        <v>758000</v>
      </c>
      <c r="E75" s="4">
        <v>766000</v>
      </c>
      <c r="F75" s="4">
        <v>550000</v>
      </c>
      <c r="H75" s="4">
        <f t="shared" si="0"/>
        <v>775000</v>
      </c>
      <c r="I75" s="4">
        <f t="shared" si="1"/>
        <v>775000</v>
      </c>
      <c r="J75" s="4" t="e">
        <f t="shared" si="2"/>
        <v>#NAME?</v>
      </c>
      <c r="K75" s="4" t="e">
        <f t="shared" si="3"/>
        <v>#NAME?</v>
      </c>
      <c r="L75" s="14">
        <v>16642</v>
      </c>
      <c r="M75" s="19" t="e">
        <f t="shared" si="4"/>
        <v>#VALUE!</v>
      </c>
      <c r="N75" t="e">
        <f>IF(N76=0,0,N76*Settings!$C$19)</f>
        <v>#VALUE!</v>
      </c>
      <c r="O75" t="e">
        <f>IF(N75=0,0,N75*#REF!)</f>
        <v>#VALUE!</v>
      </c>
    </row>
    <row r="76" spans="2:15" ht="15.75" customHeight="1" x14ac:dyDescent="0.2">
      <c r="B76" s="2" t="s">
        <v>97</v>
      </c>
      <c r="C76" s="13">
        <v>670000</v>
      </c>
      <c r="D76" s="4">
        <v>814000</v>
      </c>
      <c r="E76" s="4">
        <v>757000</v>
      </c>
      <c r="F76" s="4">
        <v>700000</v>
      </c>
      <c r="H76" s="4">
        <f t="shared" si="0"/>
        <v>825000</v>
      </c>
      <c r="I76" s="4">
        <f t="shared" si="1"/>
        <v>825000</v>
      </c>
      <c r="J76" s="4" t="e">
        <f t="shared" si="2"/>
        <v>#NAME?</v>
      </c>
      <c r="K76" s="4" t="e">
        <f t="shared" si="3"/>
        <v>#NAME?</v>
      </c>
      <c r="L76" s="14">
        <v>17561</v>
      </c>
      <c r="M76" s="19" t="e">
        <f t="shared" si="4"/>
        <v>#VALUE!</v>
      </c>
      <c r="N76" t="e">
        <f>IF(N77=0,0,N77*Settings!$C$19)</f>
        <v>#VALUE!</v>
      </c>
      <c r="O76" t="e">
        <f>IF(N76=0,0,N76*#REF!)</f>
        <v>#VALUE!</v>
      </c>
    </row>
    <row r="77" spans="2:15" ht="15.75" customHeight="1" x14ac:dyDescent="0.2">
      <c r="B77" s="2" t="s">
        <v>98</v>
      </c>
      <c r="C77" s="13">
        <v>684000</v>
      </c>
      <c r="D77" s="4">
        <v>675000</v>
      </c>
      <c r="E77" s="4">
        <v>753736</v>
      </c>
      <c r="F77" s="4">
        <v>600000</v>
      </c>
      <c r="H77" s="4">
        <f t="shared" si="0"/>
        <v>675000</v>
      </c>
      <c r="I77" s="4">
        <f t="shared" si="1"/>
        <v>675000</v>
      </c>
      <c r="J77" s="4" t="e">
        <f t="shared" si="2"/>
        <v>#NAME?</v>
      </c>
      <c r="K77" s="4" t="e">
        <f t="shared" si="3"/>
        <v>#NAME?</v>
      </c>
      <c r="L77" s="14">
        <v>16642</v>
      </c>
      <c r="M77" s="19" t="e">
        <f t="shared" si="4"/>
        <v>#VALUE!</v>
      </c>
      <c r="N77" t="e">
        <f>IF(N78=0,0,N78*Settings!$C$19)</f>
        <v>#VALUE!</v>
      </c>
      <c r="O77" t="e">
        <f>IF(N77=0,0,N77*#REF!)</f>
        <v>#VALUE!</v>
      </c>
    </row>
    <row r="78" spans="2:15" ht="15.75" customHeight="1" x14ac:dyDescent="0.2">
      <c r="B78" s="2" t="s">
        <v>99</v>
      </c>
      <c r="C78" s="13">
        <v>743000</v>
      </c>
      <c r="D78" s="4">
        <v>753000</v>
      </c>
      <c r="E78" s="4">
        <v>780193</v>
      </c>
      <c r="F78" s="4">
        <v>700000</v>
      </c>
      <c r="H78" s="4">
        <f t="shared" si="0"/>
        <v>775000</v>
      </c>
      <c r="I78" s="4">
        <f t="shared" si="1"/>
        <v>775000</v>
      </c>
      <c r="J78" s="4" t="e">
        <f t="shared" si="2"/>
        <v>#NAME?</v>
      </c>
      <c r="K78" s="4" t="e">
        <f t="shared" si="3"/>
        <v>#NAME?</v>
      </c>
      <c r="L78" s="14">
        <v>17561</v>
      </c>
      <c r="M78" s="19" t="e">
        <f t="shared" si="4"/>
        <v>#VALUE!</v>
      </c>
      <c r="N78" t="e">
        <f>IF(N79=0,0,N79*Settings!$C$19)</f>
        <v>#VALUE!</v>
      </c>
      <c r="O78" t="e">
        <f>IF(N78=0,0,N78*#REF!)</f>
        <v>#VALUE!</v>
      </c>
    </row>
    <row r="79" spans="2:15" ht="15.75" customHeight="1" x14ac:dyDescent="0.2">
      <c r="B79" s="2" t="s">
        <v>100</v>
      </c>
      <c r="C79" s="13">
        <v>746000</v>
      </c>
      <c r="D79" s="4">
        <v>850000</v>
      </c>
      <c r="E79" s="4">
        <v>855000</v>
      </c>
      <c r="F79" s="4">
        <v>800000</v>
      </c>
      <c r="H79" s="4">
        <f t="shared" si="0"/>
        <v>850000</v>
      </c>
      <c r="I79" s="4">
        <f t="shared" si="1"/>
        <v>850000</v>
      </c>
      <c r="J79" s="4" t="e">
        <f t="shared" si="2"/>
        <v>#NAME?</v>
      </c>
      <c r="K79" s="4" t="e">
        <f t="shared" si="3"/>
        <v>#NAME?</v>
      </c>
      <c r="L79" s="14">
        <v>20318</v>
      </c>
      <c r="M79" s="19" t="e">
        <f t="shared" si="4"/>
        <v>#VALUE!</v>
      </c>
      <c r="N79" t="e">
        <f>IF(N80=0,0,N80*Settings!$C$19)</f>
        <v>#VALUE!</v>
      </c>
      <c r="O79" t="e">
        <f>IF(N79=0,0,N79*#REF!)</f>
        <v>#VALUE!</v>
      </c>
    </row>
    <row r="80" spans="2:15" ht="15.75" customHeight="1" x14ac:dyDescent="0.2">
      <c r="B80" s="2" t="s">
        <v>101</v>
      </c>
      <c r="C80" s="13">
        <v>781000</v>
      </c>
      <c r="D80" s="4">
        <v>823000</v>
      </c>
      <c r="E80" s="4">
        <v>854000</v>
      </c>
      <c r="F80" s="4">
        <v>750000</v>
      </c>
      <c r="H80" s="4">
        <f t="shared" si="0"/>
        <v>825000</v>
      </c>
      <c r="I80" s="4">
        <f t="shared" si="1"/>
        <v>825000</v>
      </c>
      <c r="J80" s="4" t="e">
        <f t="shared" si="2"/>
        <v>#NAME?</v>
      </c>
      <c r="K80" s="4" t="e">
        <f t="shared" si="3"/>
        <v>#NAME?</v>
      </c>
      <c r="L80" s="14">
        <v>20318</v>
      </c>
      <c r="M80" s="19" t="e">
        <f t="shared" si="4"/>
        <v>#VALUE!</v>
      </c>
      <c r="N80" t="e">
        <f>IF(N81=0,0,N81*Settings!$C$19)</f>
        <v>#VALUE!</v>
      </c>
      <c r="O80" t="e">
        <f>IF(N80=0,0,N80*#REF!)</f>
        <v>#VALUE!</v>
      </c>
    </row>
    <row r="81" spans="2:15" ht="15.75" customHeight="1" x14ac:dyDescent="0.2">
      <c r="B81" s="2" t="s">
        <v>102</v>
      </c>
      <c r="C81" s="13">
        <v>840000</v>
      </c>
      <c r="D81" s="4">
        <v>828000</v>
      </c>
      <c r="E81" s="4">
        <v>904000</v>
      </c>
      <c r="F81" s="4">
        <v>800000</v>
      </c>
      <c r="H81" s="4">
        <f t="shared" si="0"/>
        <v>850000</v>
      </c>
      <c r="I81" s="4">
        <f t="shared" si="1"/>
        <v>850000</v>
      </c>
      <c r="J81" s="4" t="e">
        <f t="shared" si="2"/>
        <v>#NAME?</v>
      </c>
      <c r="K81" s="4" t="e">
        <f t="shared" si="3"/>
        <v>#NAME?</v>
      </c>
      <c r="L81" s="14">
        <v>22156</v>
      </c>
      <c r="M81" s="19" t="e">
        <f t="shared" si="4"/>
        <v>#VALUE!</v>
      </c>
      <c r="N81" t="e">
        <f>IF(N82=0,0,N82*Settings!$C$19)</f>
        <v>#VALUE!</v>
      </c>
      <c r="O81" t="e">
        <f>IF(N81=0,0,N81*#REF!)</f>
        <v>#VALUE!</v>
      </c>
    </row>
    <row r="82" spans="2:15" ht="15.75" customHeight="1" x14ac:dyDescent="0.2">
      <c r="B82" s="2" t="s">
        <v>103</v>
      </c>
      <c r="C82" s="13">
        <v>856000</v>
      </c>
      <c r="D82" s="4">
        <v>837000</v>
      </c>
      <c r="E82" s="4">
        <v>944000</v>
      </c>
      <c r="F82" s="4">
        <v>800000</v>
      </c>
      <c r="H82" s="4">
        <f t="shared" si="0"/>
        <v>850000</v>
      </c>
      <c r="I82" s="4">
        <f t="shared" si="1"/>
        <v>850000</v>
      </c>
      <c r="J82" s="4" t="e">
        <f t="shared" si="2"/>
        <v>#NAME?</v>
      </c>
      <c r="K82" s="4" t="e">
        <f t="shared" si="3"/>
        <v>#NAME?</v>
      </c>
      <c r="L82" s="14">
        <v>23075</v>
      </c>
      <c r="M82" s="19" t="e">
        <f t="shared" si="4"/>
        <v>#VALUE!</v>
      </c>
      <c r="N82" t="e">
        <f>IF(N83=0,0,N83*Settings!$C$19)</f>
        <v>#VALUE!</v>
      </c>
      <c r="O82" t="e">
        <f>IF(N82=0,0,N82*#REF!)</f>
        <v>#VALUE!</v>
      </c>
    </row>
    <row r="83" spans="2:15" ht="15.75" customHeight="1" x14ac:dyDescent="0.2">
      <c r="B83" s="2" t="s">
        <v>104</v>
      </c>
      <c r="C83" s="13">
        <v>875000</v>
      </c>
      <c r="D83" s="4">
        <v>919000</v>
      </c>
      <c r="E83" s="4">
        <v>999000</v>
      </c>
      <c r="F83" s="4">
        <v>900000</v>
      </c>
      <c r="H83" s="4">
        <f t="shared" si="0"/>
        <v>925000</v>
      </c>
      <c r="I83" s="4">
        <f t="shared" si="1"/>
        <v>925000</v>
      </c>
      <c r="J83" s="4" t="e">
        <f t="shared" si="2"/>
        <v>#NAME?</v>
      </c>
      <c r="K83" s="4" t="e">
        <f t="shared" si="3"/>
        <v>#NAME?</v>
      </c>
      <c r="L83" s="14">
        <v>24912</v>
      </c>
      <c r="M83" s="19" t="e">
        <f t="shared" si="4"/>
        <v>#VALUE!</v>
      </c>
      <c r="N83" t="e">
        <f>IF(N84=0,0,N84*Settings!$C$19)</f>
        <v>#VALUE!</v>
      </c>
      <c r="O83" t="e">
        <f>IF(N83=0,0,N83*#REF!)</f>
        <v>#VALUE!</v>
      </c>
    </row>
    <row r="84" spans="2:15" ht="15.75" customHeight="1" x14ac:dyDescent="0.2">
      <c r="B84" s="2" t="s">
        <v>105</v>
      </c>
      <c r="C84" s="13">
        <v>1050000</v>
      </c>
      <c r="D84" s="4">
        <v>1030000</v>
      </c>
      <c r="E84" s="4">
        <v>1069000</v>
      </c>
      <c r="F84" s="4">
        <v>1000000</v>
      </c>
      <c r="H84" s="4">
        <f t="shared" si="0"/>
        <v>1050000</v>
      </c>
      <c r="I84" s="4">
        <f t="shared" si="1"/>
        <v>1050000</v>
      </c>
      <c r="J84" s="4" t="e">
        <f t="shared" si="2"/>
        <v>#NAME?</v>
      </c>
      <c r="K84" s="4" t="e">
        <f t="shared" si="3"/>
        <v>#NAME?</v>
      </c>
      <c r="L84" s="14">
        <v>27771</v>
      </c>
      <c r="M84" s="19" t="e">
        <f t="shared" si="4"/>
        <v>#VALUE!</v>
      </c>
      <c r="N84" t="e">
        <f>IF(N85=0,0,N85*Settings!$C$19)</f>
        <v>#VALUE!</v>
      </c>
      <c r="O84" t="e">
        <f>IF(N84=0,0,N84*#REF!)</f>
        <v>#VALUE!</v>
      </c>
    </row>
    <row r="85" spans="2:15" ht="15.75" customHeight="1" x14ac:dyDescent="0.2">
      <c r="B85" s="2" t="s">
        <v>106</v>
      </c>
      <c r="C85" s="13">
        <v>927000</v>
      </c>
      <c r="D85" s="4">
        <v>983000</v>
      </c>
      <c r="E85" s="4">
        <v>1122000</v>
      </c>
      <c r="F85" s="4">
        <v>900000</v>
      </c>
      <c r="H85" s="4">
        <f t="shared" si="0"/>
        <v>1000000</v>
      </c>
      <c r="I85" s="4">
        <f t="shared" si="1"/>
        <v>1000000</v>
      </c>
      <c r="J85" s="4" t="e">
        <f t="shared" si="2"/>
        <v>#NAME?</v>
      </c>
      <c r="K85" s="4" t="e">
        <f t="shared" si="3"/>
        <v>#NAME?</v>
      </c>
      <c r="L85" s="14">
        <v>29609</v>
      </c>
      <c r="M85" s="19" t="e">
        <f t="shared" si="4"/>
        <v>#VALUE!</v>
      </c>
      <c r="N85" t="e">
        <f>IF(N86=0,0,N86*Settings!$C$19)</f>
        <v>#VALUE!</v>
      </c>
      <c r="O85" t="e">
        <f>IF(N85=0,0,N85*#REF!)</f>
        <v>#VALUE!</v>
      </c>
    </row>
    <row r="86" spans="2:15" ht="15.75" customHeight="1" x14ac:dyDescent="0.2">
      <c r="B86" s="2" t="s">
        <v>107</v>
      </c>
      <c r="C86" s="13">
        <v>958000</v>
      </c>
      <c r="D86" s="4">
        <v>1070000</v>
      </c>
      <c r="E86" s="4">
        <v>1110000</v>
      </c>
      <c r="F86" s="4">
        <v>1000000</v>
      </c>
      <c r="H86" s="4">
        <f t="shared" si="0"/>
        <v>1075000</v>
      </c>
      <c r="I86" s="4">
        <f t="shared" si="1"/>
        <v>1075000</v>
      </c>
      <c r="J86" s="4" t="e">
        <f t="shared" si="2"/>
        <v>#NAME?</v>
      </c>
      <c r="K86" s="4" t="e">
        <f t="shared" si="3"/>
        <v>#NAME?</v>
      </c>
      <c r="L86" s="14">
        <v>29609</v>
      </c>
      <c r="M86" s="19" t="e">
        <f t="shared" si="4"/>
        <v>#VALUE!</v>
      </c>
      <c r="N86" t="e">
        <f>IF(N87=0,0,N87*Settings!$C$19)</f>
        <v>#VALUE!</v>
      </c>
      <c r="O86" t="e">
        <f>IF(N86=0,0,N86*#REF!)</f>
        <v>#VALUE!</v>
      </c>
    </row>
    <row r="87" spans="2:15" ht="15.75" customHeight="1" x14ac:dyDescent="0.2">
      <c r="B87" s="2" t="s">
        <v>108</v>
      </c>
      <c r="C87" s="13">
        <v>1077000</v>
      </c>
      <c r="D87" s="4">
        <v>1080000</v>
      </c>
      <c r="E87" s="4">
        <v>1205000</v>
      </c>
      <c r="F87" s="4">
        <v>0</v>
      </c>
      <c r="H87" s="4">
        <f t="shared" si="0"/>
        <v>1100000</v>
      </c>
      <c r="I87" s="4">
        <f t="shared" si="1"/>
        <v>1100000</v>
      </c>
      <c r="J87" s="4" t="e">
        <f t="shared" si="2"/>
        <v>#NAME?</v>
      </c>
      <c r="K87" s="4" t="e">
        <f t="shared" si="3"/>
        <v>#NAME?</v>
      </c>
      <c r="L87" s="14">
        <v>33285</v>
      </c>
      <c r="M87" s="19" t="e">
        <f t="shared" si="4"/>
        <v>#VALUE!</v>
      </c>
      <c r="N87" t="e">
        <f t="shared" ref="N87" si="5">IF(M87=0,0,M87/1000)</f>
        <v>#VALUE!</v>
      </c>
      <c r="O87" t="e">
        <f>IF(N87=0,0,N87*#REF!)</f>
        <v>#VALUE!</v>
      </c>
    </row>
    <row r="88" spans="2:15" ht="15.75" customHeight="1" x14ac:dyDescent="0.2">
      <c r="K88" s="5"/>
    </row>
    <row r="89" spans="2:15" ht="15.75" customHeight="1" x14ac:dyDescent="0.2">
      <c r="B89" s="8" t="s">
        <v>109</v>
      </c>
      <c r="C89" s="20">
        <f t="shared" ref="C89:E89" si="6">MEDIAN(D59:D87)</f>
        <v>728000</v>
      </c>
      <c r="D89" s="20">
        <f t="shared" si="6"/>
        <v>739000</v>
      </c>
      <c r="E89" s="20">
        <f t="shared" si="6"/>
        <v>600000</v>
      </c>
      <c r="F89" s="20"/>
      <c r="K89" s="5"/>
    </row>
    <row r="90" spans="2:15" ht="15.75" customHeight="1" x14ac:dyDescent="0.2">
      <c r="L90" s="5"/>
    </row>
    <row r="91" spans="2:15" ht="15.75" customHeight="1" x14ac:dyDescent="0.2">
      <c r="L91" s="5"/>
    </row>
    <row r="92" spans="2:15" ht="15.75" customHeight="1" x14ac:dyDescent="0.2">
      <c r="B92" s="3" t="s">
        <v>110</v>
      </c>
      <c r="C92" s="2"/>
      <c r="D92" s="2"/>
      <c r="E92" s="2"/>
      <c r="F92" s="2"/>
      <c r="G92" s="2"/>
      <c r="L92" s="5"/>
    </row>
    <row r="93" spans="2:15" ht="46.5" customHeight="1" x14ac:dyDescent="0.2">
      <c r="B93" s="203" t="s">
        <v>111</v>
      </c>
      <c r="C93" s="197"/>
      <c r="D93" s="197"/>
      <c r="E93" s="197"/>
      <c r="F93" s="197"/>
      <c r="G93" s="197"/>
      <c r="L93" s="5"/>
    </row>
    <row r="94" spans="2:15" ht="15.75" customHeight="1" x14ac:dyDescent="0.2">
      <c r="B94" s="2" t="s">
        <v>112</v>
      </c>
      <c r="C94" s="2"/>
      <c r="D94" s="2"/>
      <c r="E94" s="2"/>
      <c r="F94" s="2"/>
      <c r="G94" s="2"/>
      <c r="L94" s="5"/>
    </row>
    <row r="95" spans="2:15" ht="15.75" customHeight="1" x14ac:dyDescent="0.2">
      <c r="B95" s="2" t="s">
        <v>113</v>
      </c>
      <c r="C95" s="2"/>
      <c r="D95" s="2"/>
      <c r="E95" s="2"/>
      <c r="F95" s="2"/>
      <c r="G95" s="2"/>
      <c r="L95" s="5"/>
    </row>
    <row r="97" spans="2:2" ht="15.75" customHeight="1" x14ac:dyDescent="0.2">
      <c r="B97" s="2"/>
    </row>
    <row r="98" spans="2:2" ht="15.75" customHeight="1" x14ac:dyDescent="0.2">
      <c r="B98" s="15"/>
    </row>
  </sheetData>
  <mergeCells count="5">
    <mergeCell ref="B5:I5"/>
    <mergeCell ref="B57:E57"/>
    <mergeCell ref="H57:I57"/>
    <mergeCell ref="J57:K57"/>
    <mergeCell ref="B93:G93"/>
  </mergeCells>
  <hyperlinks>
    <hyperlink ref="B8" r:id="rId1" display="July 2025 Estimates on an average of Jan-June Sold prices as listed on Zoocasa.ca" xr:uid="{00000000-0004-0000-0100-000000000000}"/>
    <hyperlink ref="B57" r:id="rId2" xr:uid="{00000000-0004-0000-0100-000001000000}"/>
  </hyperlinks>
  <pageMargins left="0.75" right="0.75" top="1" bottom="1" header="0" footer="0"/>
  <pageSetup orientation="landscape"/>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EFFB4"/>
    <pageSetUpPr fitToPage="1"/>
  </sheetPr>
  <dimension ref="B2:M49"/>
  <sheetViews>
    <sheetView topLeftCell="A2" zoomScaleNormal="100" workbookViewId="0">
      <selection activeCell="B44" sqref="B44:B48"/>
    </sheetView>
  </sheetViews>
  <sheetFormatPr baseColWidth="10" defaultColWidth="10.140625" defaultRowHeight="15" customHeight="1" x14ac:dyDescent="0.2"/>
  <cols>
    <col min="1" max="1" width="2.7109375" customWidth="1"/>
    <col min="2" max="2" width="39.140625" customWidth="1"/>
    <col min="3" max="3" width="12.140625" customWidth="1"/>
    <col min="4" max="4" width="4.28515625" customWidth="1"/>
    <col min="5" max="5" width="25.28515625" customWidth="1"/>
    <col min="6" max="6" width="10.7109375" customWidth="1"/>
    <col min="7" max="7" width="3.7109375" customWidth="1"/>
    <col min="8" max="8" width="24.85546875" customWidth="1"/>
    <col min="9" max="9" width="10.7109375" customWidth="1"/>
    <col min="10" max="10" width="4.28515625" customWidth="1"/>
    <col min="11" max="11" width="21.7109375" customWidth="1"/>
    <col min="12" max="26" width="10.7109375" customWidth="1"/>
  </cols>
  <sheetData>
    <row r="2" spans="2:13" ht="28" x14ac:dyDescent="0.3">
      <c r="B2" s="16" t="s">
        <v>57</v>
      </c>
      <c r="C2" s="17"/>
      <c r="D2" s="17"/>
      <c r="E2" s="17"/>
      <c r="F2" s="17"/>
      <c r="G2" s="17"/>
      <c r="H2" s="17"/>
      <c r="I2" s="17"/>
      <c r="J2" s="17"/>
      <c r="K2" s="17"/>
      <c r="L2" s="17"/>
    </row>
    <row r="3" spans="2:13" ht="28" x14ac:dyDescent="0.3">
      <c r="B3" s="16" t="s">
        <v>114</v>
      </c>
      <c r="C3" s="17"/>
      <c r="D3" s="17"/>
      <c r="E3" s="17"/>
      <c r="F3" s="17"/>
      <c r="G3" s="17"/>
      <c r="H3" s="17"/>
      <c r="I3" s="17"/>
      <c r="J3" s="17"/>
      <c r="K3" s="17"/>
      <c r="L3" s="17"/>
    </row>
    <row r="4" spans="2:13" ht="28" x14ac:dyDescent="0.3">
      <c r="B4" s="16" t="s">
        <v>115</v>
      </c>
      <c r="C4" s="17"/>
      <c r="D4" s="17"/>
      <c r="E4" s="17"/>
      <c r="F4" s="17"/>
      <c r="G4" s="17"/>
      <c r="H4" s="17"/>
      <c r="I4" s="17"/>
      <c r="J4" s="17"/>
      <c r="K4" s="17"/>
      <c r="L4" s="17"/>
    </row>
    <row r="5" spans="2:13" ht="15.75" customHeight="1" x14ac:dyDescent="0.2">
      <c r="B5" s="2"/>
      <c r="C5" s="2"/>
      <c r="D5" s="2"/>
      <c r="E5" s="2"/>
      <c r="F5" s="2"/>
      <c r="G5" s="2"/>
      <c r="H5" s="2"/>
      <c r="I5" s="2"/>
      <c r="J5" s="2"/>
      <c r="K5" s="2"/>
      <c r="L5" s="2"/>
      <c r="M5" s="2"/>
    </row>
    <row r="6" spans="2:13" s="25" customFormat="1" ht="15.75" customHeight="1" x14ac:dyDescent="0.15">
      <c r="B6" s="23" t="s">
        <v>116</v>
      </c>
      <c r="C6" s="24"/>
      <c r="E6" s="23" t="s">
        <v>117</v>
      </c>
      <c r="F6" s="24"/>
    </row>
    <row r="7" spans="2:13" s="25" customFormat="1" ht="15.75" customHeight="1" x14ac:dyDescent="0.15">
      <c r="B7" s="26" t="s">
        <v>118</v>
      </c>
      <c r="C7" s="27">
        <f>Settings!D62</f>
        <v>7974.9120000000003</v>
      </c>
      <c r="E7" s="26" t="s">
        <v>119</v>
      </c>
      <c r="F7" s="28">
        <f>Settings!D37</f>
        <v>957.44</v>
      </c>
    </row>
    <row r="8" spans="2:13" s="25" customFormat="1" ht="15.75" customHeight="1" x14ac:dyDescent="0.15">
      <c r="C8" s="29"/>
      <c r="E8" s="25" t="s">
        <v>120</v>
      </c>
      <c r="F8" s="25" t="s">
        <v>121</v>
      </c>
    </row>
    <row r="9" spans="2:13" s="25" customFormat="1" ht="15.75" customHeight="1" x14ac:dyDescent="0.15">
      <c r="B9" s="25" t="s">
        <v>122</v>
      </c>
      <c r="C9" s="29"/>
      <c r="E9" s="25" t="s">
        <v>123</v>
      </c>
      <c r="F9" s="25">
        <v>950</v>
      </c>
    </row>
    <row r="10" spans="2:13" s="25" customFormat="1" ht="15.75" customHeight="1" x14ac:dyDescent="0.15">
      <c r="B10" s="25" t="s">
        <v>124</v>
      </c>
      <c r="C10" s="29"/>
      <c r="E10" s="25" t="s">
        <v>125</v>
      </c>
    </row>
    <row r="11" spans="2:13" s="25" customFormat="1" ht="15.75" customHeight="1" x14ac:dyDescent="0.15">
      <c r="E11" s="25" t="s">
        <v>126</v>
      </c>
    </row>
    <row r="12" spans="2:13" s="25" customFormat="1" ht="15.75" customHeight="1" x14ac:dyDescent="0.15">
      <c r="E12" s="25" t="s">
        <v>127</v>
      </c>
      <c r="M12" s="29"/>
    </row>
    <row r="13" spans="2:13" s="25" customFormat="1" ht="15.75" customHeight="1" x14ac:dyDescent="0.15">
      <c r="E13" s="25" t="s">
        <v>128</v>
      </c>
      <c r="M13" s="29"/>
    </row>
    <row r="14" spans="2:13" s="25" customFormat="1" ht="15.75" customHeight="1" x14ac:dyDescent="0.15">
      <c r="E14" s="25" t="s">
        <v>129</v>
      </c>
      <c r="M14" s="29"/>
    </row>
    <row r="15" spans="2:13" s="25" customFormat="1" ht="15.75" customHeight="1" x14ac:dyDescent="0.15">
      <c r="E15" s="25" t="s">
        <v>130</v>
      </c>
      <c r="K15" s="25" t="s">
        <v>131</v>
      </c>
      <c r="M15" s="29"/>
    </row>
    <row r="16" spans="2:13" s="25" customFormat="1" ht="15.75" customHeight="1" x14ac:dyDescent="0.15">
      <c r="E16" s="25" t="s">
        <v>13</v>
      </c>
      <c r="L16" s="33"/>
      <c r="M16" s="29"/>
    </row>
    <row r="17" spans="2:13" s="25" customFormat="1" ht="15.75" customHeight="1" x14ac:dyDescent="0.15">
      <c r="E17" s="25" t="s">
        <v>132</v>
      </c>
      <c r="K17" s="31" t="s">
        <v>64</v>
      </c>
      <c r="L17" s="34">
        <v>9657</v>
      </c>
      <c r="M17" s="29"/>
    </row>
    <row r="18" spans="2:13" s="25" customFormat="1" ht="15.75" customHeight="1" x14ac:dyDescent="0.15">
      <c r="E18" s="25" t="s">
        <v>133</v>
      </c>
      <c r="M18" s="29"/>
    </row>
    <row r="19" spans="2:13" s="25" customFormat="1" ht="15.75" customHeight="1" x14ac:dyDescent="0.15">
      <c r="M19" s="29"/>
    </row>
    <row r="20" spans="2:13" s="25" customFormat="1" ht="15.75" customHeight="1" x14ac:dyDescent="0.15">
      <c r="K20" s="36" t="s">
        <v>134</v>
      </c>
      <c r="L20" s="37"/>
      <c r="M20" s="29"/>
    </row>
    <row r="21" spans="2:13" s="25" customFormat="1" ht="15.75" customHeight="1" x14ac:dyDescent="0.15">
      <c r="K21" s="25" t="s">
        <v>135</v>
      </c>
      <c r="L21" s="29">
        <f>Settings!D28</f>
        <v>1041</v>
      </c>
      <c r="M21" s="29"/>
    </row>
    <row r="22" spans="2:13" s="25" customFormat="1" ht="15.75" customHeight="1" x14ac:dyDescent="0.15">
      <c r="L22" s="29"/>
      <c r="M22" s="29"/>
    </row>
    <row r="23" spans="2:13" s="25" customFormat="1" ht="15.75" customHeight="1" x14ac:dyDescent="0.15"/>
    <row r="24" spans="2:13" s="25" customFormat="1" ht="15.75" customHeight="1" x14ac:dyDescent="0.15">
      <c r="B24" s="25" t="s">
        <v>136</v>
      </c>
      <c r="E24" s="25" t="s">
        <v>137</v>
      </c>
      <c r="K24" s="36" t="s">
        <v>138</v>
      </c>
      <c r="L24" s="38"/>
    </row>
    <row r="25" spans="2:13" s="25" customFormat="1" ht="15.75" customHeight="1" x14ac:dyDescent="0.15">
      <c r="C25" s="30"/>
      <c r="E25" s="31" t="s">
        <v>139</v>
      </c>
      <c r="F25" s="32">
        <v>10</v>
      </c>
      <c r="H25" s="25" t="s">
        <v>140</v>
      </c>
      <c r="K25" s="25" t="s">
        <v>141</v>
      </c>
      <c r="L25" s="29">
        <f>Settings!D30</f>
        <v>6593</v>
      </c>
    </row>
    <row r="26" spans="2:13" s="25" customFormat="1" ht="15.75" customHeight="1" x14ac:dyDescent="0.15">
      <c r="B26" s="31" t="s">
        <v>64</v>
      </c>
      <c r="C26" s="34">
        <v>1000</v>
      </c>
      <c r="D26" s="35"/>
      <c r="E26" s="31" t="s">
        <v>142</v>
      </c>
      <c r="F26" s="34">
        <f>IF(F25="More than 10", Settings!$D$37*10, Settings!$D$37*F25)</f>
        <v>9574.4000000000015</v>
      </c>
      <c r="G26" s="35"/>
      <c r="I26" s="33"/>
      <c r="J26" s="35"/>
      <c r="L26" s="29"/>
      <c r="M26" s="35"/>
    </row>
    <row r="27" spans="2:13" s="25" customFormat="1" ht="15" customHeight="1" x14ac:dyDescent="0.15">
      <c r="H27" s="31" t="s">
        <v>64</v>
      </c>
      <c r="I27" s="34">
        <v>2907</v>
      </c>
    </row>
    <row r="28" spans="2:13" s="25" customFormat="1" ht="15" customHeight="1" x14ac:dyDescent="0.15">
      <c r="K28" s="36" t="s">
        <v>143</v>
      </c>
      <c r="L28" s="38"/>
    </row>
    <row r="29" spans="2:13" s="25" customFormat="1" ht="15.75" customHeight="1" x14ac:dyDescent="0.15">
      <c r="B29" s="36" t="s">
        <v>134</v>
      </c>
      <c r="C29" s="37"/>
      <c r="D29" s="37"/>
      <c r="E29" s="36" t="s">
        <v>134</v>
      </c>
      <c r="F29" s="38"/>
      <c r="G29" s="38"/>
      <c r="J29" s="38"/>
      <c r="K29" s="25" t="s">
        <v>144</v>
      </c>
      <c r="L29" s="29">
        <f>Settings!D31</f>
        <v>9889</v>
      </c>
    </row>
    <row r="30" spans="2:13" s="25" customFormat="1" ht="15.75" customHeight="1" x14ac:dyDescent="0.2">
      <c r="B30" s="25" t="s">
        <v>145</v>
      </c>
      <c r="C30" s="29">
        <v>2500</v>
      </c>
      <c r="D30">
        <f>(Settings!D37)</f>
        <v>957.44</v>
      </c>
      <c r="E30" s="33" t="s">
        <v>146</v>
      </c>
      <c r="F30" s="29">
        <f>(Settings!D37)</f>
        <v>957.44</v>
      </c>
      <c r="H30" s="36" t="s">
        <v>134</v>
      </c>
      <c r="I30" s="38"/>
      <c r="L30" s="29"/>
    </row>
    <row r="31" spans="2:13" s="25" customFormat="1" ht="15.75" customHeight="1" x14ac:dyDescent="0.15">
      <c r="C31" s="29"/>
      <c r="E31" s="39" t="e">
        <f>(#REF!)</f>
        <v>#REF!</v>
      </c>
      <c r="F31" s="29">
        <f>5*Settings!D37</f>
        <v>4787.2000000000007</v>
      </c>
      <c r="H31" s="25" t="s">
        <v>147</v>
      </c>
      <c r="I31" s="29">
        <f>Settings!D56</f>
        <v>1489</v>
      </c>
    </row>
    <row r="32" spans="2:13" s="25" customFormat="1" ht="15.75" customHeight="1" x14ac:dyDescent="0.15">
      <c r="I32" s="29"/>
      <c r="K32" s="36" t="s">
        <v>148</v>
      </c>
      <c r="L32" s="38"/>
    </row>
    <row r="33" spans="2:12" s="25" customFormat="1" ht="15.75" customHeight="1" x14ac:dyDescent="0.15">
      <c r="B33" s="36" t="s">
        <v>138</v>
      </c>
      <c r="C33" s="38"/>
      <c r="D33" s="38"/>
      <c r="E33" s="36" t="s">
        <v>138</v>
      </c>
      <c r="F33" s="38"/>
      <c r="G33" s="38"/>
      <c r="J33" s="38"/>
      <c r="K33" s="25" t="s">
        <v>149</v>
      </c>
      <c r="L33" s="29">
        <f>Settings!D32</f>
        <v>13185</v>
      </c>
    </row>
    <row r="34" spans="2:12" s="25" customFormat="1" ht="15.75" customHeight="1" x14ac:dyDescent="0.2">
      <c r="B34" s="25" t="s">
        <v>150</v>
      </c>
      <c r="C34" s="29">
        <v>5000</v>
      </c>
      <c r="D34">
        <f>(Settings!D37)</f>
        <v>957.44</v>
      </c>
      <c r="E34" s="33" t="s">
        <v>151</v>
      </c>
      <c r="F34" s="29">
        <f>(Settings!D37)</f>
        <v>957.44</v>
      </c>
      <c r="H34" s="36" t="s">
        <v>138</v>
      </c>
      <c r="I34" s="38"/>
      <c r="K34" s="40"/>
    </row>
    <row r="35" spans="2:12" s="25" customFormat="1" ht="15.75" customHeight="1" x14ac:dyDescent="0.15">
      <c r="C35" s="29"/>
      <c r="E35" s="39" t="e">
        <f>(#REF!)</f>
        <v>#REF!</v>
      </c>
      <c r="F35" s="29">
        <f>4*Settings!D37</f>
        <v>3829.76</v>
      </c>
      <c r="H35" s="25" t="s">
        <v>152</v>
      </c>
      <c r="I35" s="29">
        <f>Settings!D57</f>
        <v>2977</v>
      </c>
      <c r="K35" s="40"/>
    </row>
    <row r="36" spans="2:12" s="25" customFormat="1" ht="15.75" customHeight="1" x14ac:dyDescent="0.15">
      <c r="C36" s="29"/>
      <c r="I36" s="29"/>
      <c r="K36" s="40"/>
    </row>
    <row r="37" spans="2:12" s="25" customFormat="1" ht="15.75" customHeight="1" x14ac:dyDescent="0.15">
      <c r="B37" s="36" t="s">
        <v>143</v>
      </c>
      <c r="C37" s="38"/>
      <c r="D37" s="38"/>
      <c r="E37" s="36" t="s">
        <v>143</v>
      </c>
      <c r="F37" s="38"/>
      <c r="G37" s="38"/>
      <c r="J37" s="38"/>
      <c r="K37" s="40"/>
    </row>
    <row r="38" spans="2:12" s="25" customFormat="1" ht="15.75" customHeight="1" x14ac:dyDescent="0.2">
      <c r="B38" s="25" t="s">
        <v>153</v>
      </c>
      <c r="C38" s="29">
        <f>Settings!D62</f>
        <v>7974.9120000000003</v>
      </c>
      <c r="D38">
        <f>(Settings!D37)</f>
        <v>957.44</v>
      </c>
      <c r="E38" s="33" t="s">
        <v>154</v>
      </c>
      <c r="F38" s="29">
        <f>(Settings!D37)</f>
        <v>957.44</v>
      </c>
      <c r="H38" s="36" t="s">
        <v>143</v>
      </c>
      <c r="I38" s="38"/>
      <c r="K38" s="40"/>
    </row>
    <row r="39" spans="2:12" s="25" customFormat="1" ht="15.75" customHeight="1" x14ac:dyDescent="0.15">
      <c r="C39" s="29"/>
      <c r="E39" s="39" t="e">
        <f>(#REF!)</f>
        <v>#REF!</v>
      </c>
      <c r="F39" s="29">
        <f>10*Settings!D37</f>
        <v>9574.4000000000015</v>
      </c>
      <c r="H39" s="25" t="s">
        <v>155</v>
      </c>
      <c r="I39" s="29">
        <f>Settings!D58</f>
        <v>4466</v>
      </c>
      <c r="K39" s="40"/>
    </row>
    <row r="40" spans="2:12" s="25" customFormat="1" ht="15.75" customHeight="1" x14ac:dyDescent="0.2">
      <c r="I40" s="29"/>
      <c r="K40"/>
      <c r="L40"/>
    </row>
    <row r="41" spans="2:12" s="25" customFormat="1" ht="15.75" customHeight="1" x14ac:dyDescent="0.2">
      <c r="B41" s="36" t="s">
        <v>148</v>
      </c>
      <c r="C41" s="38"/>
      <c r="D41" s="38"/>
      <c r="E41" s="36" t="s">
        <v>148</v>
      </c>
      <c r="F41" s="38"/>
      <c r="G41" s="38"/>
      <c r="J41" s="38"/>
      <c r="K41"/>
      <c r="L41"/>
    </row>
    <row r="42" spans="2:12" s="25" customFormat="1" ht="15.75" customHeight="1" x14ac:dyDescent="0.2">
      <c r="B42" s="25" t="s">
        <v>156</v>
      </c>
      <c r="C42" s="29">
        <v>0</v>
      </c>
      <c r="D42">
        <f>(Settings!D37)</f>
        <v>957.44</v>
      </c>
      <c r="E42" s="33" t="s">
        <v>157</v>
      </c>
      <c r="F42" s="29">
        <f>(Settings!D37)</f>
        <v>957.44</v>
      </c>
      <c r="H42" s="36" t="s">
        <v>148</v>
      </c>
      <c r="I42" s="38"/>
      <c r="K42"/>
      <c r="L42"/>
    </row>
    <row r="43" spans="2:12" s="25" customFormat="1" ht="15.75" customHeight="1" x14ac:dyDescent="0.2">
      <c r="E43" s="39" t="e">
        <f>(#REF!)</f>
        <v>#REF!</v>
      </c>
      <c r="F43" s="29">
        <f>10*Settings!D37</f>
        <v>9574.4000000000015</v>
      </c>
      <c r="H43" s="25" t="s">
        <v>158</v>
      </c>
      <c r="I43" s="29">
        <v>0</v>
      </c>
      <c r="K43"/>
      <c r="L43"/>
    </row>
    <row r="44" spans="2:12" s="25" customFormat="1" ht="15.75" customHeight="1" x14ac:dyDescent="0.2">
      <c r="B44" s="41" t="s">
        <v>159</v>
      </c>
      <c r="H44" s="25" t="s">
        <v>160</v>
      </c>
      <c r="K44"/>
      <c r="L44"/>
    </row>
    <row r="45" spans="2:12" s="25" customFormat="1" ht="15.75" customHeight="1" x14ac:dyDescent="0.2">
      <c r="B45" s="40" t="s">
        <v>161</v>
      </c>
      <c r="K45"/>
      <c r="L45"/>
    </row>
    <row r="46" spans="2:12" s="25" customFormat="1" ht="15.75" customHeight="1" x14ac:dyDescent="0.2">
      <c r="B46" s="40" t="s">
        <v>162</v>
      </c>
      <c r="C46" s="29"/>
      <c r="K46"/>
      <c r="L46"/>
    </row>
    <row r="47" spans="2:12" s="25" customFormat="1" ht="15.75" customHeight="1" x14ac:dyDescent="0.2">
      <c r="B47" s="40" t="s">
        <v>163</v>
      </c>
      <c r="K47"/>
      <c r="L47"/>
    </row>
    <row r="48" spans="2:12" s="25" customFormat="1" ht="15.75" customHeight="1" x14ac:dyDescent="0.2">
      <c r="B48" s="40" t="s">
        <v>164</v>
      </c>
      <c r="K48"/>
      <c r="L48"/>
    </row>
    <row r="49" spans="8:9" ht="15" customHeight="1" x14ac:dyDescent="0.2">
      <c r="H49" s="25"/>
      <c r="I49" s="25"/>
    </row>
  </sheetData>
  <dataValidations count="1">
    <dataValidation type="list" allowBlank="1" showErrorMessage="1" sqref="F25" xr:uid="{00000000-0002-0000-0200-000000000000}">
      <formula1>#REF!</formula1>
    </dataValidation>
  </dataValidations>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753C-C1D2-4F77-B204-3A2F7A70F120}">
  <dimension ref="B1:O39"/>
  <sheetViews>
    <sheetView workbookViewId="0">
      <selection activeCell="H21" sqref="H21"/>
    </sheetView>
  </sheetViews>
  <sheetFormatPr baseColWidth="10" defaultColWidth="8.85546875" defaultRowHeight="16" x14ac:dyDescent="0.2"/>
  <cols>
    <col min="1" max="1" width="2.28515625" style="84" customWidth="1"/>
    <col min="2" max="2" width="30.7109375" style="84" customWidth="1"/>
    <col min="3" max="3" width="12.28515625" style="84" customWidth="1"/>
    <col min="4" max="4" width="5.5703125" style="84" customWidth="1"/>
    <col min="5" max="5" width="30.7109375" style="84" customWidth="1"/>
    <col min="6" max="6" width="12.28515625" style="84" customWidth="1"/>
    <col min="7" max="7" width="3.140625" style="84" customWidth="1"/>
    <col min="8" max="8" width="33.85546875" style="84" customWidth="1"/>
    <col min="9" max="9" width="12.28515625" style="84" customWidth="1"/>
    <col min="10" max="10" width="6.28515625" style="84" customWidth="1"/>
    <col min="11" max="11" width="33.85546875" style="84" customWidth="1"/>
    <col min="12" max="12" width="12.28515625" style="84" customWidth="1"/>
    <col min="13" max="13" width="3.140625" style="84" customWidth="1"/>
    <col min="14" max="14" width="35.28515625" style="84" customWidth="1"/>
    <col min="15" max="15" width="12.28515625" style="84" customWidth="1"/>
    <col min="16" max="16384" width="8.85546875" style="84"/>
  </cols>
  <sheetData>
    <row r="1" spans="2:9" ht="14.25" customHeight="1" x14ac:dyDescent="0.2"/>
    <row r="2" spans="2:9" x14ac:dyDescent="0.2">
      <c r="B2" s="204" t="s">
        <v>165</v>
      </c>
      <c r="C2" s="204"/>
      <c r="D2" s="204"/>
      <c r="E2" s="204"/>
      <c r="F2" s="204"/>
      <c r="G2" s="204"/>
      <c r="H2" s="204"/>
      <c r="I2" s="204"/>
    </row>
    <row r="3" spans="2:9" ht="14.25" customHeight="1" x14ac:dyDescent="0.2">
      <c r="B3" s="121"/>
      <c r="D3" s="122"/>
    </row>
    <row r="4" spans="2:9" ht="20.25" customHeight="1" x14ac:dyDescent="0.2">
      <c r="B4" s="69" t="s">
        <v>166</v>
      </c>
      <c r="C4" s="123"/>
      <c r="D4" s="123"/>
      <c r="E4" s="123"/>
      <c r="F4" s="123"/>
      <c r="G4" s="123"/>
      <c r="H4" s="123"/>
      <c r="I4" s="123"/>
    </row>
    <row r="5" spans="2:9" s="88" customFormat="1" ht="14.25" customHeight="1" x14ac:dyDescent="0.15"/>
    <row r="6" spans="2:9" s="88" customFormat="1" ht="14.25" customHeight="1" x14ac:dyDescent="0.15">
      <c r="B6" s="88" t="s">
        <v>167</v>
      </c>
    </row>
    <row r="7" spans="2:9" s="88" customFormat="1" ht="14.25" customHeight="1" x14ac:dyDescent="0.15"/>
    <row r="8" spans="2:9" s="88" customFormat="1" ht="14.25" customHeight="1" x14ac:dyDescent="0.15">
      <c r="B8" s="205" t="s">
        <v>168</v>
      </c>
      <c r="C8" s="205"/>
      <c r="E8" s="205" t="s">
        <v>169</v>
      </c>
      <c r="F8" s="205"/>
      <c r="H8" s="205" t="s">
        <v>170</v>
      </c>
      <c r="I8" s="205"/>
    </row>
    <row r="9" spans="2:9" s="88" customFormat="1" ht="14.25" customHeight="1" x14ac:dyDescent="0.15">
      <c r="B9" s="93" t="s">
        <v>171</v>
      </c>
      <c r="C9" s="124">
        <f>Settings!D24</f>
        <v>59757</v>
      </c>
      <c r="E9" s="93" t="s">
        <v>171</v>
      </c>
      <c r="F9" s="124">
        <f>Settings!D24</f>
        <v>59757</v>
      </c>
      <c r="H9" s="93" t="s">
        <v>171</v>
      </c>
      <c r="I9" s="124">
        <f>Settings!D24</f>
        <v>59757</v>
      </c>
    </row>
    <row r="10" spans="2:9" s="88" customFormat="1" ht="14.25" customHeight="1" x14ac:dyDescent="0.15">
      <c r="B10" s="93" t="s">
        <v>172</v>
      </c>
      <c r="C10" s="124">
        <f>_xlfn.XLOOKUP("Mississauga",tblHousing_New[Community],tblHousing_New[Current Year])</f>
        <v>30835</v>
      </c>
      <c r="E10" s="93" t="s">
        <v>173</v>
      </c>
      <c r="F10" s="124">
        <f>_xlfn.XLOOKUP("Guelph",tblHousing_New[Community],tblHousing_New[Current Year])</f>
        <v>21159</v>
      </c>
      <c r="H10" s="93" t="s">
        <v>174</v>
      </c>
      <c r="I10" s="124">
        <f>_xlfn.XLOOKUP("London",tblHousing_New[Community],tblHousing_New[Current Year])</f>
        <v>14461</v>
      </c>
    </row>
    <row r="11" spans="2:9" s="88" customFormat="1" ht="14.25" customHeight="1" x14ac:dyDescent="0.15">
      <c r="B11" s="93" t="s">
        <v>175</v>
      </c>
      <c r="C11" s="124">
        <f>Settings!D46</f>
        <v>4787.2000000000007</v>
      </c>
      <c r="E11" s="93" t="s">
        <v>176</v>
      </c>
      <c r="F11" s="124">
        <f>Settings!D45</f>
        <v>3829.76</v>
      </c>
      <c r="H11" s="93" t="s">
        <v>177</v>
      </c>
      <c r="I11" s="124">
        <f>Settings!D51</f>
        <v>9574.4000000000015</v>
      </c>
    </row>
    <row r="12" spans="2:9" s="88" customFormat="1" ht="14.25" customHeight="1" x14ac:dyDescent="0.15">
      <c r="B12" s="93" t="s">
        <v>147</v>
      </c>
      <c r="C12" s="124">
        <f>Settings!D56</f>
        <v>1489</v>
      </c>
      <c r="E12" s="93" t="s">
        <v>152</v>
      </c>
      <c r="F12" s="124">
        <f>Settings!D57</f>
        <v>2977</v>
      </c>
      <c r="H12" s="93" t="s">
        <v>178</v>
      </c>
      <c r="I12" s="124">
        <f>Settings!D58</f>
        <v>4466</v>
      </c>
    </row>
    <row r="13" spans="2:9" s="88" customFormat="1" ht="14.25" customHeight="1" x14ac:dyDescent="0.15">
      <c r="B13" s="93" t="s">
        <v>135</v>
      </c>
      <c r="C13" s="124">
        <f>Settings!D28</f>
        <v>1041</v>
      </c>
      <c r="E13" s="93" t="s">
        <v>141</v>
      </c>
      <c r="F13" s="124">
        <f>Settings!D30</f>
        <v>6593</v>
      </c>
      <c r="H13" s="93" t="s">
        <v>141</v>
      </c>
      <c r="I13" s="124">
        <f>Settings!D30</f>
        <v>6593</v>
      </c>
    </row>
    <row r="14" spans="2:9" s="88" customFormat="1" ht="14.25" customHeight="1" x14ac:dyDescent="0.15">
      <c r="B14" s="93" t="s">
        <v>179</v>
      </c>
      <c r="C14" s="93"/>
      <c r="E14" s="93" t="s">
        <v>180</v>
      </c>
      <c r="F14" s="93"/>
      <c r="H14" s="93" t="s">
        <v>181</v>
      </c>
      <c r="I14" s="93"/>
    </row>
    <row r="15" spans="2:9" s="88" customFormat="1" ht="14.25" customHeight="1" x14ac:dyDescent="0.15">
      <c r="B15" s="93"/>
      <c r="C15" s="93"/>
      <c r="E15" s="93"/>
      <c r="F15" s="93"/>
      <c r="H15" s="93"/>
      <c r="I15" s="93"/>
    </row>
    <row r="16" spans="2:9" s="88" customFormat="1" ht="14.25" customHeight="1" x14ac:dyDescent="0.15">
      <c r="B16" s="125" t="s">
        <v>182</v>
      </c>
      <c r="C16" s="126">
        <f>SUM(C9:C13)*Settings!$C$66</f>
        <v>97909.2</v>
      </c>
      <c r="E16" s="125" t="s">
        <v>183</v>
      </c>
      <c r="F16" s="126">
        <f>SUM(F9:F13)*Settings!$C$69</f>
        <v>73566.292799999996</v>
      </c>
      <c r="H16" s="125" t="s">
        <v>184</v>
      </c>
      <c r="I16" s="126">
        <f>SUM(I9:I13)*Settings!$C$68</f>
        <v>80623.689999999988</v>
      </c>
    </row>
    <row r="17" spans="2:15" s="88" customFormat="1" ht="14.25" customHeight="1" x14ac:dyDescent="0.15">
      <c r="B17" s="125" t="s">
        <v>185</v>
      </c>
      <c r="C17" s="126">
        <f>C16+Settings!$D$62</f>
        <v>105884.11199999999</v>
      </c>
      <c r="E17" s="125" t="s">
        <v>185</v>
      </c>
      <c r="F17" s="126">
        <f>F16+Settings!$D$62</f>
        <v>81541.204799999992</v>
      </c>
      <c r="H17" s="125" t="s">
        <v>185</v>
      </c>
      <c r="I17" s="126">
        <f>I16+Settings!$D$62</f>
        <v>88598.601999999984</v>
      </c>
    </row>
    <row r="18" spans="2:15" s="88" customFormat="1" ht="14.25" customHeight="1" x14ac:dyDescent="0.15">
      <c r="B18" s="93"/>
      <c r="C18" s="127" t="s">
        <v>24</v>
      </c>
      <c r="E18" s="93"/>
      <c r="F18" s="127" t="s">
        <v>24</v>
      </c>
      <c r="H18" s="93"/>
      <c r="I18" s="127" t="s">
        <v>24</v>
      </c>
    </row>
    <row r="19" spans="2:15" s="88" customFormat="1" ht="14.25" customHeight="1" x14ac:dyDescent="0.15">
      <c r="C19" s="128"/>
      <c r="F19" s="128"/>
      <c r="I19" s="128"/>
      <c r="L19" s="128"/>
      <c r="O19" s="128"/>
    </row>
    <row r="20" spans="2:15" s="88" customFormat="1" ht="14.25" customHeight="1" x14ac:dyDescent="0.15">
      <c r="B20" s="205" t="s">
        <v>186</v>
      </c>
      <c r="C20" s="205"/>
      <c r="E20" s="205" t="s">
        <v>187</v>
      </c>
      <c r="F20" s="205"/>
      <c r="I20" s="128"/>
      <c r="L20" s="128"/>
      <c r="O20" s="128"/>
    </row>
    <row r="21" spans="2:15" s="88" customFormat="1" ht="14.25" customHeight="1" x14ac:dyDescent="0.15">
      <c r="B21" s="93" t="s">
        <v>171</v>
      </c>
      <c r="C21" s="124">
        <f>Settings!D24</f>
        <v>59757</v>
      </c>
      <c r="E21" s="93" t="s">
        <v>171</v>
      </c>
      <c r="F21" s="124">
        <f>Settings!D24</f>
        <v>59757</v>
      </c>
      <c r="I21" s="128"/>
      <c r="L21" s="128"/>
      <c r="O21" s="128"/>
    </row>
    <row r="22" spans="2:15" s="88" customFormat="1" ht="14.25" customHeight="1" x14ac:dyDescent="0.15">
      <c r="B22" s="93" t="s">
        <v>188</v>
      </c>
      <c r="C22" s="124">
        <f>_xlfn.XLOOKUP("Ottawa",tblHousing_New[Community],tblHousing_New[Current Year])</f>
        <v>17331</v>
      </c>
      <c r="E22" s="93" t="s">
        <v>189</v>
      </c>
      <c r="F22" s="124">
        <f>_xlfn.XLOOKUP("Montreal QC",tblHousing_New[Community],tblHousing_New[Current Year])</f>
        <v>14461</v>
      </c>
      <c r="I22" s="128"/>
      <c r="L22" s="128"/>
      <c r="O22" s="128"/>
    </row>
    <row r="23" spans="2:15" s="88" customFormat="1" ht="14.25" customHeight="1" x14ac:dyDescent="0.15">
      <c r="B23" s="93" t="s">
        <v>190</v>
      </c>
      <c r="C23" s="124">
        <f>Settings!D51</f>
        <v>9574.4000000000015</v>
      </c>
      <c r="E23" s="93" t="s">
        <v>191</v>
      </c>
      <c r="F23" s="124">
        <f>Settings!D44</f>
        <v>2872.32</v>
      </c>
      <c r="I23" s="128"/>
      <c r="L23" s="128"/>
      <c r="O23" s="128"/>
    </row>
    <row r="24" spans="2:15" s="88" customFormat="1" ht="14.25" customHeight="1" x14ac:dyDescent="0.15">
      <c r="B24" s="93" t="s">
        <v>152</v>
      </c>
      <c r="C24" s="124">
        <f>Settings!D57</f>
        <v>2977</v>
      </c>
      <c r="E24" s="93" t="s">
        <v>152</v>
      </c>
      <c r="F24" s="124">
        <f>Settings!D57</f>
        <v>2977</v>
      </c>
      <c r="I24" s="128"/>
      <c r="L24" s="128"/>
      <c r="O24" s="128"/>
    </row>
    <row r="25" spans="2:15" s="88" customFormat="1" ht="14.25" customHeight="1" x14ac:dyDescent="0.15">
      <c r="B25" s="93" t="s">
        <v>144</v>
      </c>
      <c r="C25" s="124">
        <f>Settings!D31</f>
        <v>9889</v>
      </c>
      <c r="E25" s="93" t="s">
        <v>192</v>
      </c>
      <c r="F25" s="124">
        <f>Settings!D29</f>
        <v>3296</v>
      </c>
      <c r="I25" s="128"/>
      <c r="L25" s="128"/>
      <c r="O25" s="128"/>
    </row>
    <row r="26" spans="2:15" s="88" customFormat="1" ht="14.25" customHeight="1" x14ac:dyDescent="0.15">
      <c r="B26" s="93" t="s">
        <v>193</v>
      </c>
      <c r="C26" s="93"/>
      <c r="E26" s="93" t="s">
        <v>179</v>
      </c>
      <c r="F26" s="93"/>
      <c r="I26" s="128"/>
      <c r="L26" s="128"/>
      <c r="O26" s="128"/>
    </row>
    <row r="27" spans="2:15" s="88" customFormat="1" ht="14.25" customHeight="1" x14ac:dyDescent="0.15">
      <c r="B27" s="93"/>
      <c r="C27" s="93"/>
      <c r="E27" s="93"/>
      <c r="F27" s="93"/>
      <c r="I27" s="128"/>
      <c r="L27" s="128"/>
      <c r="O27" s="128"/>
    </row>
    <row r="28" spans="2:15" s="88" customFormat="1" ht="14.25" customHeight="1" x14ac:dyDescent="0.15">
      <c r="B28" s="125" t="s">
        <v>194</v>
      </c>
      <c r="C28" s="126">
        <f>SUM(C21:C25)*Settings!$C$67</f>
        <v>92561.411999999997</v>
      </c>
      <c r="E28" s="125" t="s">
        <v>195</v>
      </c>
      <c r="F28" s="126">
        <f>SUM(F21:F25)*Settings!$C$66</f>
        <v>83363.320000000007</v>
      </c>
      <c r="I28" s="128"/>
      <c r="L28" s="128"/>
      <c r="O28" s="128"/>
    </row>
    <row r="29" spans="2:15" s="88" customFormat="1" ht="14.25" customHeight="1" x14ac:dyDescent="0.15">
      <c r="B29" s="125" t="s">
        <v>185</v>
      </c>
      <c r="C29" s="126">
        <f>C28+Settings!$D$62</f>
        <v>100536.32399999999</v>
      </c>
      <c r="E29" s="125" t="s">
        <v>185</v>
      </c>
      <c r="F29" s="126">
        <f>F28+Settings!$D$62</f>
        <v>91338.232000000004</v>
      </c>
      <c r="I29" s="128"/>
      <c r="L29" s="128"/>
      <c r="O29" s="128"/>
    </row>
    <row r="30" spans="2:15" s="88" customFormat="1" ht="14.25" customHeight="1" x14ac:dyDescent="0.15">
      <c r="B30" s="93"/>
      <c r="C30" s="127" t="s">
        <v>24</v>
      </c>
      <c r="E30" s="93"/>
      <c r="F30" s="127" t="s">
        <v>24</v>
      </c>
      <c r="I30" s="128"/>
      <c r="L30" s="128"/>
      <c r="O30" s="128"/>
    </row>
    <row r="31" spans="2:15" s="88" customFormat="1" ht="14.25" customHeight="1" x14ac:dyDescent="0.15">
      <c r="C31" s="128"/>
      <c r="F31" s="128"/>
      <c r="I31" s="128"/>
      <c r="L31" s="128"/>
      <c r="O31" s="128"/>
    </row>
    <row r="32" spans="2:15" s="88" customFormat="1" ht="14.25" customHeight="1" x14ac:dyDescent="0.15"/>
    <row r="33" spans="2:9" s="88" customFormat="1" ht="14.25" customHeight="1" x14ac:dyDescent="0.15">
      <c r="B33" s="129" t="s">
        <v>110</v>
      </c>
      <c r="C33" s="130"/>
      <c r="D33" s="130"/>
      <c r="E33" s="130"/>
      <c r="F33" s="130"/>
      <c r="G33" s="130"/>
      <c r="H33" s="131"/>
      <c r="I33" s="132"/>
    </row>
    <row r="34" spans="2:9" s="88" customFormat="1" ht="14.25" customHeight="1" x14ac:dyDescent="0.15">
      <c r="B34" s="209" t="s">
        <v>196</v>
      </c>
      <c r="C34" s="210"/>
      <c r="D34" s="210"/>
      <c r="E34" s="210"/>
      <c r="F34" s="210"/>
      <c r="G34" s="210"/>
      <c r="H34" s="210"/>
      <c r="I34" s="211"/>
    </row>
    <row r="35" spans="2:9" s="88" customFormat="1" ht="14.25" customHeight="1" x14ac:dyDescent="0.15">
      <c r="B35" s="209" t="s">
        <v>197</v>
      </c>
      <c r="C35" s="210"/>
      <c r="D35" s="210"/>
      <c r="E35" s="210"/>
      <c r="F35" s="210"/>
      <c r="G35" s="210"/>
      <c r="H35" s="210"/>
      <c r="I35" s="211"/>
    </row>
    <row r="36" spans="2:9" s="88" customFormat="1" ht="14.25" customHeight="1" x14ac:dyDescent="0.15">
      <c r="B36" s="209" t="s">
        <v>198</v>
      </c>
      <c r="C36" s="210"/>
      <c r="D36" s="210"/>
      <c r="E36" s="210"/>
      <c r="F36" s="210"/>
      <c r="G36" s="210"/>
      <c r="H36" s="210"/>
      <c r="I36" s="211"/>
    </row>
    <row r="37" spans="2:9" s="88" customFormat="1" ht="14.25" customHeight="1" x14ac:dyDescent="0.15">
      <c r="B37" s="209" t="s">
        <v>199</v>
      </c>
      <c r="C37" s="210"/>
      <c r="D37" s="210"/>
      <c r="E37" s="210"/>
      <c r="F37" s="210"/>
      <c r="G37" s="210"/>
      <c r="H37" s="210"/>
      <c r="I37" s="211"/>
    </row>
    <row r="38" spans="2:9" s="88" customFormat="1" ht="14.25" customHeight="1" x14ac:dyDescent="0.15">
      <c r="B38" s="206" t="s">
        <v>200</v>
      </c>
      <c r="C38" s="207"/>
      <c r="D38" s="207"/>
      <c r="E38" s="207"/>
      <c r="F38" s="207"/>
      <c r="G38" s="207"/>
      <c r="H38" s="207"/>
      <c r="I38" s="208"/>
    </row>
    <row r="39" spans="2:9" ht="14.25" customHeight="1" x14ac:dyDescent="0.2"/>
  </sheetData>
  <sheetProtection algorithmName="SHA-512" hashValue="ijxguF3DJEdULMwtDeWPn4P/HQKcCYRxNqc+dl9kJKLbeY+mLTM/jFSBN2/NwJln26WaiquIOV8QLtVcwjRYbg==" saltValue="M8dJM0rSy8KZmrFjy0AZRw==" spinCount="100000" sheet="1" objects="1" scenarios="1"/>
  <mergeCells count="11">
    <mergeCell ref="B2:I2"/>
    <mergeCell ref="B8:C8"/>
    <mergeCell ref="E8:F8"/>
    <mergeCell ref="H8:I8"/>
    <mergeCell ref="B38:I38"/>
    <mergeCell ref="B20:C20"/>
    <mergeCell ref="E20:F20"/>
    <mergeCell ref="B37:I37"/>
    <mergeCell ref="B34:I34"/>
    <mergeCell ref="B35:I35"/>
    <mergeCell ref="B36:I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3375-CA6D-4319-BA95-368660558854}">
  <dimension ref="B1:H30"/>
  <sheetViews>
    <sheetView workbookViewId="0">
      <selection activeCell="D19" sqref="D19"/>
    </sheetView>
  </sheetViews>
  <sheetFormatPr baseColWidth="10" defaultColWidth="8.85546875" defaultRowHeight="16" x14ac:dyDescent="0.2"/>
  <cols>
    <col min="1" max="1" width="2.28515625" style="84" customWidth="1"/>
    <col min="2" max="2" width="31.7109375" style="84" bestFit="1" customWidth="1"/>
    <col min="3" max="6" width="12.85546875" style="84" customWidth="1"/>
    <col min="7" max="16384" width="8.85546875" style="84"/>
  </cols>
  <sheetData>
    <row r="1" spans="2:8" ht="14.25" customHeight="1" x14ac:dyDescent="0.2"/>
    <row r="2" spans="2:8" x14ac:dyDescent="0.2">
      <c r="B2" s="204" t="s">
        <v>165</v>
      </c>
      <c r="C2" s="204"/>
      <c r="D2" s="204"/>
      <c r="E2" s="204"/>
      <c r="F2" s="204"/>
      <c r="G2" s="204"/>
      <c r="H2" s="204"/>
    </row>
    <row r="3" spans="2:8" ht="14.25" customHeight="1" x14ac:dyDescent="0.2"/>
    <row r="4" spans="2:8" s="113" customFormat="1" ht="20.25" customHeight="1" x14ac:dyDescent="0.2">
      <c r="B4" s="213" t="s">
        <v>201</v>
      </c>
      <c r="C4" s="213"/>
      <c r="D4" s="213"/>
      <c r="E4" s="213"/>
      <c r="F4" s="213"/>
      <c r="G4" s="213"/>
      <c r="H4" s="213"/>
    </row>
    <row r="5" spans="2:8" s="88" customFormat="1" ht="14.25" customHeight="1" x14ac:dyDescent="0.15"/>
    <row r="6" spans="2:8" s="88" customFormat="1" ht="14.25" customHeight="1" x14ac:dyDescent="0.15">
      <c r="B6" s="114" t="s">
        <v>202</v>
      </c>
      <c r="C6" s="115" t="s">
        <v>203</v>
      </c>
      <c r="D6" s="115" t="s">
        <v>204</v>
      </c>
      <c r="E6" s="114" t="s">
        <v>205</v>
      </c>
      <c r="F6" s="116" t="s">
        <v>206</v>
      </c>
    </row>
    <row r="7" spans="2:8" s="88" customFormat="1" ht="14.25" customHeight="1" x14ac:dyDescent="0.15">
      <c r="B7" s="89"/>
      <c r="C7" s="89"/>
      <c r="D7" s="89"/>
      <c r="E7" s="89"/>
      <c r="F7" s="89"/>
    </row>
    <row r="8" spans="2:8" s="88" customFormat="1" ht="14.25" customHeight="1" x14ac:dyDescent="0.15">
      <c r="B8" s="89" t="s">
        <v>207</v>
      </c>
      <c r="C8" s="117">
        <v>26</v>
      </c>
      <c r="D8" s="117">
        <v>27.2</v>
      </c>
      <c r="E8" s="117">
        <v>1.2</v>
      </c>
      <c r="F8" s="118">
        <v>4.5999999999999999E-2</v>
      </c>
    </row>
    <row r="9" spans="2:8" s="88" customFormat="1" ht="14.25" customHeight="1" x14ac:dyDescent="0.15">
      <c r="B9" s="89" t="s">
        <v>208</v>
      </c>
      <c r="C9" s="117">
        <v>23.05</v>
      </c>
      <c r="D9" s="117">
        <v>24.6</v>
      </c>
      <c r="E9" s="117">
        <v>1.55</v>
      </c>
      <c r="F9" s="118">
        <v>6.7000000000000004E-2</v>
      </c>
    </row>
    <row r="10" spans="2:8" s="88" customFormat="1" ht="14.25" customHeight="1" x14ac:dyDescent="0.15">
      <c r="B10" s="89" t="s">
        <v>96</v>
      </c>
      <c r="C10" s="117">
        <v>22.8</v>
      </c>
      <c r="D10" s="117">
        <v>23.4</v>
      </c>
      <c r="E10" s="117">
        <v>0.6</v>
      </c>
      <c r="F10" s="118">
        <v>2.5999999999999999E-2</v>
      </c>
    </row>
    <row r="11" spans="2:8" s="88" customFormat="1" ht="14.25" customHeight="1" x14ac:dyDescent="0.15">
      <c r="B11" s="89" t="s">
        <v>209</v>
      </c>
      <c r="C11" s="117">
        <v>21.3</v>
      </c>
      <c r="D11" s="117">
        <v>23</v>
      </c>
      <c r="E11" s="117">
        <v>1.7</v>
      </c>
      <c r="F11" s="118">
        <v>0.08</v>
      </c>
    </row>
    <row r="12" spans="2:8" s="88" customFormat="1" ht="14.25" customHeight="1" x14ac:dyDescent="0.15">
      <c r="B12" s="89" t="s">
        <v>94</v>
      </c>
      <c r="C12" s="117">
        <v>21.3</v>
      </c>
      <c r="D12" s="117">
        <v>22.6</v>
      </c>
      <c r="E12" s="117">
        <v>1.3</v>
      </c>
      <c r="F12" s="118">
        <v>6.0999999999999999E-2</v>
      </c>
    </row>
    <row r="13" spans="2:8" s="88" customFormat="1" ht="14.25" customHeight="1" x14ac:dyDescent="0.15">
      <c r="B13" s="89" t="s">
        <v>210</v>
      </c>
      <c r="C13" s="117">
        <v>21.65</v>
      </c>
      <c r="D13" s="117">
        <v>22.2</v>
      </c>
      <c r="E13" s="117">
        <v>0.55000000000000004</v>
      </c>
      <c r="F13" s="118">
        <v>2.5000000000000001E-2</v>
      </c>
    </row>
    <row r="14" spans="2:8" s="88" customFormat="1" ht="14.25" customHeight="1" x14ac:dyDescent="0.15">
      <c r="B14" s="89" t="s">
        <v>211</v>
      </c>
      <c r="C14" s="117">
        <v>19.850000000000001</v>
      </c>
      <c r="D14" s="117">
        <v>21.5</v>
      </c>
      <c r="E14" s="117">
        <v>1.65</v>
      </c>
      <c r="F14" s="118">
        <v>8.3000000000000004E-2</v>
      </c>
    </row>
    <row r="15" spans="2:8" s="88" customFormat="1" ht="14.25" customHeight="1" x14ac:dyDescent="0.15">
      <c r="B15" s="89" t="s">
        <v>212</v>
      </c>
      <c r="C15" s="117">
        <v>20.9</v>
      </c>
      <c r="D15" s="117">
        <v>21.4</v>
      </c>
      <c r="E15" s="117">
        <v>0.5</v>
      </c>
      <c r="F15" s="118">
        <v>2.4E-2</v>
      </c>
    </row>
    <row r="16" spans="2:8" s="88" customFormat="1" ht="14.25" customHeight="1" x14ac:dyDescent="0.15">
      <c r="B16" s="89" t="s">
        <v>213</v>
      </c>
      <c r="C16" s="117">
        <v>20.3</v>
      </c>
      <c r="D16" s="117">
        <v>21.1</v>
      </c>
      <c r="E16" s="117">
        <v>0.8</v>
      </c>
      <c r="F16" s="118">
        <v>3.9E-2</v>
      </c>
    </row>
    <row r="17" spans="2:6" s="88" customFormat="1" ht="14.25" customHeight="1" x14ac:dyDescent="0.15">
      <c r="B17" s="89" t="s">
        <v>214</v>
      </c>
      <c r="C17" s="117">
        <v>19.5</v>
      </c>
      <c r="D17" s="117">
        <v>21.05</v>
      </c>
      <c r="E17" s="117">
        <v>1.55</v>
      </c>
      <c r="F17" s="118">
        <v>7.9000000000000001E-2</v>
      </c>
    </row>
    <row r="18" spans="2:6" s="88" customFormat="1" ht="14.25" customHeight="1" x14ac:dyDescent="0.15"/>
    <row r="19" spans="2:6" s="88" customFormat="1" ht="14.25" customHeight="1" x14ac:dyDescent="0.15">
      <c r="B19" s="212" t="s">
        <v>215</v>
      </c>
      <c r="C19" s="212"/>
      <c r="D19" s="119" t="s">
        <v>216</v>
      </c>
    </row>
    <row r="20" spans="2:6" s="88" customFormat="1" ht="14.25" customHeight="1" x14ac:dyDescent="0.15">
      <c r="D20" s="120" t="s">
        <v>217</v>
      </c>
    </row>
    <row r="21" spans="2:6" s="88" customFormat="1" ht="14.25" customHeight="1" x14ac:dyDescent="0.15"/>
    <row r="22" spans="2:6" s="83" customFormat="1" ht="14.25" customHeight="1" x14ac:dyDescent="0.2">
      <c r="B22" s="83" t="s">
        <v>218</v>
      </c>
    </row>
    <row r="23" spans="2:6" s="83" customFormat="1" ht="14.25" customHeight="1" x14ac:dyDescent="0.2">
      <c r="B23" s="83" t="s">
        <v>219</v>
      </c>
    </row>
    <row r="24" spans="2:6" s="88" customFormat="1" ht="14.25" customHeight="1" x14ac:dyDescent="0.15"/>
    <row r="25" spans="2:6" s="88" customFormat="1" ht="14.25" customHeight="1" x14ac:dyDescent="0.15"/>
    <row r="26" spans="2:6" s="88" customFormat="1" ht="14.25" customHeight="1" x14ac:dyDescent="0.15"/>
    <row r="27" spans="2:6" s="88" customFormat="1" ht="14.25" customHeight="1" x14ac:dyDescent="0.15">
      <c r="B27" s="120"/>
    </row>
    <row r="28" spans="2:6" s="88" customFormat="1" ht="14.25" customHeight="1" x14ac:dyDescent="0.15"/>
    <row r="29" spans="2:6" s="88" customFormat="1" ht="14.25" customHeight="1" x14ac:dyDescent="0.15"/>
    <row r="30" spans="2:6" s="88" customFormat="1" ht="14.25" customHeight="1" x14ac:dyDescent="0.15"/>
  </sheetData>
  <sheetProtection algorithmName="SHA-512" hashValue="ZYbvjVb8wa/XmLEvWCwWzQE2dR2LZ+enX03H+iqKhCkUNDsB6v+xLca628ENZSZFN9ElD+42+70Y0gz9MDDL/w==" saltValue="r7efadVpPy13BHHL9j+xnw==" spinCount="100000" sheet="1" objects="1" scenarios="1"/>
  <mergeCells count="3">
    <mergeCell ref="B19:C19"/>
    <mergeCell ref="B2:H2"/>
    <mergeCell ref="B4:H4"/>
  </mergeCells>
  <phoneticPr fontId="15" type="noConversion"/>
  <hyperlinks>
    <hyperlink ref="D19" r:id="rId1" xr:uid="{C0C9D83E-6FD0-4191-9C4C-41D6A87D38A2}"/>
  </hyperlinks>
  <pageMargins left="0.7" right="0.7" top="0.75" bottom="0.75" header="0.3" footer="0.3"/>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A0D6E-7509-43B6-8457-7B45881175E8}">
  <dimension ref="B1:B54"/>
  <sheetViews>
    <sheetView workbookViewId="0">
      <selection activeCell="B9" sqref="B9"/>
    </sheetView>
  </sheetViews>
  <sheetFormatPr baseColWidth="10" defaultColWidth="8.85546875" defaultRowHeight="16" x14ac:dyDescent="0.2"/>
  <cols>
    <col min="1" max="1" width="2.28515625" style="84" customWidth="1"/>
    <col min="2" max="2" width="101.7109375" style="84" customWidth="1"/>
    <col min="3" max="16384" width="8.85546875" style="84"/>
  </cols>
  <sheetData>
    <row r="1" spans="2:2" ht="14.25" customHeight="1" x14ac:dyDescent="0.2"/>
    <row r="2" spans="2:2" x14ac:dyDescent="0.2">
      <c r="B2" s="85" t="s">
        <v>165</v>
      </c>
    </row>
    <row r="3" spans="2:2" ht="14.25" customHeight="1" x14ac:dyDescent="0.2"/>
    <row r="4" spans="2:2" s="97" customFormat="1" ht="20.25" customHeight="1" x14ac:dyDescent="0.2">
      <c r="B4" s="103" t="s">
        <v>220</v>
      </c>
    </row>
    <row r="5" spans="2:2" s="88" customFormat="1" ht="14.25" customHeight="1" x14ac:dyDescent="0.15">
      <c r="B5" s="104" t="s">
        <v>221</v>
      </c>
    </row>
    <row r="6" spans="2:2" s="88" customFormat="1" ht="14.25" customHeight="1" x14ac:dyDescent="0.15">
      <c r="B6" s="92"/>
    </row>
    <row r="7" spans="2:2" s="88" customFormat="1" ht="14.25" customHeight="1" x14ac:dyDescent="0.15">
      <c r="B7" s="105" t="s">
        <v>222</v>
      </c>
    </row>
    <row r="8" spans="2:2" s="88" customFormat="1" ht="60" x14ac:dyDescent="0.15">
      <c r="B8" s="91" t="s">
        <v>223</v>
      </c>
    </row>
    <row r="9" spans="2:2" s="88" customFormat="1" ht="14.25" customHeight="1" x14ac:dyDescent="0.15">
      <c r="B9" s="106" t="s">
        <v>224</v>
      </c>
    </row>
    <row r="10" spans="2:2" s="88" customFormat="1" ht="14.25" customHeight="1" x14ac:dyDescent="0.15">
      <c r="B10" s="92"/>
    </row>
    <row r="11" spans="2:2" s="93" customFormat="1" ht="14.25" customHeight="1" x14ac:dyDescent="0.2">
      <c r="B11" s="107" t="s">
        <v>225</v>
      </c>
    </row>
    <row r="12" spans="2:2" s="93" customFormat="1" ht="14.25" customHeight="1" x14ac:dyDescent="0.2">
      <c r="B12" s="108" t="s">
        <v>226</v>
      </c>
    </row>
    <row r="13" spans="2:2" s="93" customFormat="1" ht="14.25" customHeight="1" x14ac:dyDescent="0.2">
      <c r="B13" s="108" t="s">
        <v>227</v>
      </c>
    </row>
    <row r="14" spans="2:2" s="93" customFormat="1" ht="14.25" customHeight="1" x14ac:dyDescent="0.2">
      <c r="B14" s="108" t="s">
        <v>228</v>
      </c>
    </row>
    <row r="15" spans="2:2" s="93" customFormat="1" ht="14.25" customHeight="1" x14ac:dyDescent="0.2">
      <c r="B15" s="108" t="s">
        <v>229</v>
      </c>
    </row>
    <row r="16" spans="2:2" s="93" customFormat="1" ht="14.25" customHeight="1" x14ac:dyDescent="0.2">
      <c r="B16" s="108"/>
    </row>
    <row r="17" spans="2:2" s="93" customFormat="1" ht="14.25" customHeight="1" x14ac:dyDescent="0.2">
      <c r="B17" s="108" t="s">
        <v>230</v>
      </c>
    </row>
    <row r="18" spans="2:2" s="93" customFormat="1" ht="14.25" customHeight="1" x14ac:dyDescent="0.2">
      <c r="B18" s="108" t="s">
        <v>231</v>
      </c>
    </row>
    <row r="19" spans="2:2" s="93" customFormat="1" ht="14.25" customHeight="1" x14ac:dyDescent="0.2">
      <c r="B19" s="108" t="s">
        <v>232</v>
      </c>
    </row>
    <row r="20" spans="2:2" s="110" customFormat="1" ht="45" customHeight="1" x14ac:dyDescent="0.2">
      <c r="B20" s="109" t="s">
        <v>233</v>
      </c>
    </row>
    <row r="21" spans="2:2" s="93" customFormat="1" ht="14.25" customHeight="1" x14ac:dyDescent="0.2">
      <c r="B21" s="111"/>
    </row>
    <row r="22" spans="2:2" s="83" customFormat="1" ht="14.25" customHeight="1" x14ac:dyDescent="0.2">
      <c r="B22" s="105" t="s">
        <v>234</v>
      </c>
    </row>
    <row r="23" spans="2:2" s="83" customFormat="1" ht="14.25" customHeight="1" x14ac:dyDescent="0.2">
      <c r="B23" s="91" t="s">
        <v>235</v>
      </c>
    </row>
    <row r="24" spans="2:2" s="83" customFormat="1" ht="14.25" customHeight="1" x14ac:dyDescent="0.2">
      <c r="B24" s="91" t="s">
        <v>236</v>
      </c>
    </row>
    <row r="25" spans="2:2" s="83" customFormat="1" ht="14.25" customHeight="1" x14ac:dyDescent="0.2">
      <c r="B25" s="91" t="s">
        <v>237</v>
      </c>
    </row>
    <row r="26" spans="2:2" s="83" customFormat="1" ht="14.25" customHeight="1" x14ac:dyDescent="0.2">
      <c r="B26" s="91"/>
    </row>
    <row r="27" spans="2:2" s="83" customFormat="1" ht="14.25" customHeight="1" x14ac:dyDescent="0.2">
      <c r="B27" s="91" t="s">
        <v>238</v>
      </c>
    </row>
    <row r="28" spans="2:2" s="88" customFormat="1" ht="14.25" customHeight="1" x14ac:dyDescent="0.15">
      <c r="B28" s="92"/>
    </row>
    <row r="29" spans="2:2" s="88" customFormat="1" ht="14.25" customHeight="1" x14ac:dyDescent="0.15">
      <c r="B29" s="92"/>
    </row>
    <row r="30" spans="2:2" s="88" customFormat="1" ht="14.25" customHeight="1" x14ac:dyDescent="0.15">
      <c r="B30" s="92"/>
    </row>
    <row r="31" spans="2:2" s="88" customFormat="1" ht="14.25" customHeight="1" x14ac:dyDescent="0.15">
      <c r="B31" s="92"/>
    </row>
    <row r="32" spans="2:2" s="88" customFormat="1" ht="14.25" customHeight="1" x14ac:dyDescent="0.15">
      <c r="B32" s="92"/>
    </row>
    <row r="33" spans="2:2" s="88" customFormat="1" ht="14.25" customHeight="1" x14ac:dyDescent="0.15">
      <c r="B33" s="92"/>
    </row>
    <row r="34" spans="2:2" s="88" customFormat="1" ht="14.25" customHeight="1" x14ac:dyDescent="0.15">
      <c r="B34" s="92"/>
    </row>
    <row r="35" spans="2:2" s="88" customFormat="1" ht="14.25" customHeight="1" x14ac:dyDescent="0.15">
      <c r="B35" s="92"/>
    </row>
    <row r="36" spans="2:2" s="88" customFormat="1" ht="14.25" customHeight="1" x14ac:dyDescent="0.15">
      <c r="B36" s="92"/>
    </row>
    <row r="37" spans="2:2" s="88" customFormat="1" ht="14.25" customHeight="1" x14ac:dyDescent="0.15">
      <c r="B37" s="92"/>
    </row>
    <row r="38" spans="2:2" s="93" customFormat="1" ht="14.25" customHeight="1" x14ac:dyDescent="0.2">
      <c r="B38" s="107" t="s">
        <v>239</v>
      </c>
    </row>
    <row r="39" spans="2:2" s="93" customFormat="1" ht="30" x14ac:dyDescent="0.2">
      <c r="B39" s="108" t="s">
        <v>240</v>
      </c>
    </row>
    <row r="40" spans="2:2" s="93" customFormat="1" ht="14.25" customHeight="1" x14ac:dyDescent="0.2">
      <c r="B40" s="108"/>
    </row>
    <row r="41" spans="2:2" s="93" customFormat="1" ht="14.25" customHeight="1" x14ac:dyDescent="0.2">
      <c r="B41" s="107" t="s">
        <v>241</v>
      </c>
    </row>
    <row r="42" spans="2:2" s="93" customFormat="1" ht="14.25" customHeight="1" x14ac:dyDescent="0.2">
      <c r="B42" s="107" t="s">
        <v>242</v>
      </c>
    </row>
    <row r="43" spans="2:2" s="93" customFormat="1" ht="14.25" customHeight="1" x14ac:dyDescent="0.2">
      <c r="B43" s="168" t="s">
        <v>243</v>
      </c>
    </row>
    <row r="44" spans="2:2" s="93" customFormat="1" ht="14.25" customHeight="1" x14ac:dyDescent="0.2">
      <c r="B44" s="108"/>
    </row>
    <row r="45" spans="2:2" s="93" customFormat="1" ht="14.25" customHeight="1" x14ac:dyDescent="0.2">
      <c r="B45" s="107" t="s">
        <v>244</v>
      </c>
    </row>
    <row r="46" spans="2:2" s="93" customFormat="1" ht="14.25" customHeight="1" x14ac:dyDescent="0.2">
      <c r="B46" s="108" t="s">
        <v>245</v>
      </c>
    </row>
    <row r="47" spans="2:2" s="93" customFormat="1" ht="14.25" customHeight="1" x14ac:dyDescent="0.2">
      <c r="B47" s="108" t="s">
        <v>246</v>
      </c>
    </row>
    <row r="48" spans="2:2" s="93" customFormat="1" ht="14.25" customHeight="1" x14ac:dyDescent="0.2">
      <c r="B48" s="108" t="s">
        <v>247</v>
      </c>
    </row>
    <row r="49" spans="2:2" s="93" customFormat="1" ht="14.25" customHeight="1" x14ac:dyDescent="0.2">
      <c r="B49" s="108" t="s">
        <v>248</v>
      </c>
    </row>
    <row r="50" spans="2:2" s="93" customFormat="1" ht="14.25" customHeight="1" x14ac:dyDescent="0.2">
      <c r="B50" s="108"/>
    </row>
    <row r="51" spans="2:2" s="93" customFormat="1" ht="14.25" customHeight="1" x14ac:dyDescent="0.2">
      <c r="B51" s="169" t="s">
        <v>249</v>
      </c>
    </row>
    <row r="52" spans="2:2" s="93" customFormat="1" ht="14.25" customHeight="1" x14ac:dyDescent="0.2">
      <c r="B52" s="106"/>
    </row>
    <row r="53" spans="2:2" s="93" customFormat="1" ht="30" x14ac:dyDescent="0.2">
      <c r="B53" s="112" t="s">
        <v>250</v>
      </c>
    </row>
    <row r="54" spans="2:2" s="88" customFormat="1" ht="14.25" customHeight="1" x14ac:dyDescent="0.15"/>
  </sheetData>
  <sheetProtection algorithmName="SHA-512" hashValue="anvdGKQcV0jB+p89QD7Se80hrFFSRPrt5JNvFfEzUSyapoA+uxCpin2UFHKzV2NevuvAAPJRmMbo5cTlcSfiaA==" saltValue="3T3ncwbiFHz/Kgw0j6dO6w==" spinCount="100000" sheet="1" objects="1" scenarios="1"/>
  <hyperlinks>
    <hyperlink ref="B20" r:id="rId1" xr:uid="{D617AFDF-5EA3-4A27-9683-95C6F56DD9D7}"/>
    <hyperlink ref="B9" r:id="rId2" display="Interpretation Bulletin (especially helpful in defining Eligibility" xr:uid="{D528D5D9-76CF-4834-BC43-139A75571A4F}"/>
    <hyperlink ref="B51" r:id="rId3" xr:uid="{19BF8536-004F-487E-AEC2-45B3E0D66102}"/>
    <hyperlink ref="B43" r:id="rId4" xr:uid="{1E7719BC-94A6-443A-918A-B2C176D13579}"/>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ACE7E-B89B-4BA4-8954-EB683F273AF2}">
  <sheetPr>
    <tabColor rgb="FFFEFFB4"/>
  </sheetPr>
  <dimension ref="A1:F76"/>
  <sheetViews>
    <sheetView workbookViewId="0">
      <selection activeCell="E10" sqref="E10"/>
    </sheetView>
  </sheetViews>
  <sheetFormatPr baseColWidth="10" defaultColWidth="8.85546875" defaultRowHeight="16" x14ac:dyDescent="0.2"/>
  <cols>
    <col min="1" max="1" width="2.28515625" style="84" customWidth="1"/>
    <col min="2" max="2" width="100.85546875" style="84" customWidth="1"/>
    <col min="3" max="16384" width="8.85546875" style="84"/>
  </cols>
  <sheetData>
    <row r="1" spans="1:6" ht="14.25" customHeight="1" x14ac:dyDescent="0.2"/>
    <row r="2" spans="1:6" x14ac:dyDescent="0.2">
      <c r="B2" s="85" t="s">
        <v>165</v>
      </c>
      <c r="C2" s="86"/>
      <c r="D2" s="86"/>
      <c r="E2" s="86"/>
      <c r="F2" s="86"/>
    </row>
    <row r="3" spans="1:6" ht="14.25" customHeight="1" x14ac:dyDescent="0.2"/>
    <row r="4" spans="1:6" ht="20.25" customHeight="1" x14ac:dyDescent="0.2">
      <c r="B4" s="87" t="s">
        <v>251</v>
      </c>
    </row>
    <row r="5" spans="1:6" s="88" customFormat="1" ht="14" x14ac:dyDescent="0.15"/>
    <row r="6" spans="1:6" s="88" customFormat="1" ht="14" x14ac:dyDescent="0.15">
      <c r="B6" s="89" t="s">
        <v>252</v>
      </c>
    </row>
    <row r="7" spans="1:6" s="88" customFormat="1" ht="63.5" customHeight="1" x14ac:dyDescent="0.15">
      <c r="B7" s="89"/>
    </row>
    <row r="8" spans="1:6" s="88" customFormat="1" ht="14" x14ac:dyDescent="0.15">
      <c r="B8" s="88" t="s">
        <v>253</v>
      </c>
    </row>
    <row r="9" spans="1:6" s="88" customFormat="1" ht="14" x14ac:dyDescent="0.15"/>
    <row r="10" spans="1:6" s="88" customFormat="1" ht="14" x14ac:dyDescent="0.15">
      <c r="A10" s="90"/>
      <c r="B10" s="214" t="s">
        <v>254</v>
      </c>
    </row>
    <row r="11" spans="1:6" s="88" customFormat="1" ht="14" x14ac:dyDescent="0.15">
      <c r="A11" s="90"/>
      <c r="B11" s="214"/>
    </row>
    <row r="12" spans="1:6" s="88" customFormat="1" ht="14" x14ac:dyDescent="0.15">
      <c r="A12" s="90"/>
      <c r="B12" s="91"/>
    </row>
    <row r="13" spans="1:6" s="88" customFormat="1" ht="15" x14ac:dyDescent="0.15">
      <c r="A13" s="90"/>
      <c r="B13" s="92" t="s">
        <v>255</v>
      </c>
    </row>
    <row r="14" spans="1:6" s="88" customFormat="1" ht="14" x14ac:dyDescent="0.15">
      <c r="A14" s="90"/>
      <c r="B14" s="92"/>
    </row>
    <row r="15" spans="1:6" s="88" customFormat="1" ht="15" x14ac:dyDescent="0.15">
      <c r="A15" s="90"/>
      <c r="B15" s="92" t="s">
        <v>256</v>
      </c>
    </row>
    <row r="16" spans="1:6" s="88" customFormat="1" ht="14" x14ac:dyDescent="0.15">
      <c r="A16" s="90"/>
      <c r="B16" s="92"/>
    </row>
    <row r="17" spans="1:3" s="88" customFormat="1" ht="15" x14ac:dyDescent="0.15">
      <c r="A17" s="90"/>
      <c r="B17" s="92" t="s">
        <v>257</v>
      </c>
    </row>
    <row r="18" spans="1:3" s="88" customFormat="1" ht="14" x14ac:dyDescent="0.15">
      <c r="A18" s="90"/>
      <c r="B18" s="92"/>
    </row>
    <row r="19" spans="1:3" s="88" customFormat="1" ht="14" x14ac:dyDescent="0.15">
      <c r="A19" s="90"/>
      <c r="B19" s="88" t="s">
        <v>258</v>
      </c>
    </row>
    <row r="20" spans="1:3" s="88" customFormat="1" ht="14" x14ac:dyDescent="0.15">
      <c r="A20" s="90"/>
    </row>
    <row r="21" spans="1:3" s="88" customFormat="1" ht="14" x14ac:dyDescent="0.15">
      <c r="A21" s="90"/>
      <c r="B21" s="88" t="s">
        <v>259</v>
      </c>
    </row>
    <row r="22" spans="1:3" s="88" customFormat="1" ht="14" x14ac:dyDescent="0.15">
      <c r="B22" s="88" t="s">
        <v>260</v>
      </c>
    </row>
    <row r="23" spans="1:3" s="93" customFormat="1" ht="14" x14ac:dyDescent="0.2">
      <c r="B23" s="94" t="str">
        <f>HYPERLINK("mailto:churchvitality@febcentral.ca?subject=Staff Salary Guide", "Click here to email FEB Central Church Vitality")</f>
        <v>Click here to email FEB Central Church Vitality</v>
      </c>
    </row>
    <row r="24" spans="1:3" s="88" customFormat="1" ht="14" x14ac:dyDescent="0.15"/>
    <row r="25" spans="1:3" x14ac:dyDescent="0.2">
      <c r="B25" s="88"/>
    </row>
    <row r="27" spans="1:3" ht="18" x14ac:dyDescent="0.2">
      <c r="B27" s="95"/>
    </row>
    <row r="28" spans="1:3" x14ac:dyDescent="0.2">
      <c r="C28" s="96"/>
    </row>
    <row r="30" spans="1:3" x14ac:dyDescent="0.2">
      <c r="B30" s="97"/>
    </row>
    <row r="31" spans="1:3" x14ac:dyDescent="0.2">
      <c r="B31" s="98"/>
    </row>
    <row r="32" spans="1:3" x14ac:dyDescent="0.2">
      <c r="B32" s="97"/>
    </row>
    <row r="33" spans="2:2" x14ac:dyDescent="0.2">
      <c r="B33" s="99"/>
    </row>
    <row r="39" spans="2:2" ht="18" x14ac:dyDescent="0.2">
      <c r="B39" s="95"/>
    </row>
    <row r="42" spans="2:2" x14ac:dyDescent="0.2">
      <c r="B42" s="100"/>
    </row>
    <row r="43" spans="2:2" x14ac:dyDescent="0.2">
      <c r="B43" s="101"/>
    </row>
    <row r="44" spans="2:2" x14ac:dyDescent="0.2">
      <c r="B44" s="101"/>
    </row>
    <row r="45" spans="2:2" x14ac:dyDescent="0.2">
      <c r="B45" s="97"/>
    </row>
    <row r="46" spans="2:2" x14ac:dyDescent="0.2">
      <c r="B46" s="98"/>
    </row>
    <row r="47" spans="2:2" x14ac:dyDescent="0.2">
      <c r="B47" s="100"/>
    </row>
    <row r="48" spans="2:2" x14ac:dyDescent="0.2">
      <c r="B48" s="102"/>
    </row>
    <row r="54" spans="2:2" ht="18" x14ac:dyDescent="0.2">
      <c r="B54" s="95"/>
    </row>
    <row r="57" spans="2:2" x14ac:dyDescent="0.2">
      <c r="B57" s="100"/>
    </row>
    <row r="58" spans="2:2" x14ac:dyDescent="0.2">
      <c r="B58" s="100"/>
    </row>
    <row r="59" spans="2:2" x14ac:dyDescent="0.2">
      <c r="B59" s="100"/>
    </row>
    <row r="60" spans="2:2" x14ac:dyDescent="0.2">
      <c r="B60" s="100"/>
    </row>
    <row r="61" spans="2:2" x14ac:dyDescent="0.2">
      <c r="B61" s="97"/>
    </row>
    <row r="62" spans="2:2" x14ac:dyDescent="0.2">
      <c r="B62" s="98"/>
    </row>
    <row r="63" spans="2:2" x14ac:dyDescent="0.2">
      <c r="B63" s="100"/>
    </row>
    <row r="64" spans="2:2" x14ac:dyDescent="0.2">
      <c r="B64" s="102"/>
    </row>
    <row r="65" spans="2:2" x14ac:dyDescent="0.2">
      <c r="B65" s="102"/>
    </row>
    <row r="66" spans="2:2" x14ac:dyDescent="0.2">
      <c r="B66" s="102"/>
    </row>
    <row r="67" spans="2:2" x14ac:dyDescent="0.2">
      <c r="B67" s="102"/>
    </row>
    <row r="68" spans="2:2" x14ac:dyDescent="0.2">
      <c r="B68" s="102"/>
    </row>
    <row r="69" spans="2:2" x14ac:dyDescent="0.2">
      <c r="B69" s="102"/>
    </row>
    <row r="70" spans="2:2" x14ac:dyDescent="0.2">
      <c r="B70" s="102"/>
    </row>
    <row r="71" spans="2:2" x14ac:dyDescent="0.2">
      <c r="B71" s="102"/>
    </row>
    <row r="72" spans="2:2" x14ac:dyDescent="0.2">
      <c r="B72" s="102"/>
    </row>
    <row r="73" spans="2:2" x14ac:dyDescent="0.2">
      <c r="B73" s="102"/>
    </row>
    <row r="74" spans="2:2" x14ac:dyDescent="0.2">
      <c r="B74" s="102"/>
    </row>
    <row r="75" spans="2:2" x14ac:dyDescent="0.2">
      <c r="B75" s="100"/>
    </row>
    <row r="76" spans="2:2" x14ac:dyDescent="0.2">
      <c r="B76" s="100"/>
    </row>
  </sheetData>
  <sheetProtection algorithmName="SHA-512" hashValue="ma7IS5b+9D4ropTd+xee6tUzR18nNh3W87upembyLi0mzjLMrtT5IUrNexDiCz0GIehB8Q+5bhf7xahXTuBOJg==" saltValue="AcJNHYGMquHCSLCm+y4NSA==" spinCount="100000" sheet="1" objects="1" scenarios="1"/>
  <mergeCells count="1">
    <mergeCell ref="B10:B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F407-D6BA-4117-8D99-3DDDAB5F97C2}">
  <dimension ref="B1:F125"/>
  <sheetViews>
    <sheetView workbookViewId="0">
      <selection activeCell="D19" sqref="D19"/>
    </sheetView>
  </sheetViews>
  <sheetFormatPr baseColWidth="10" defaultColWidth="9.28515625" defaultRowHeight="14" x14ac:dyDescent="0.15"/>
  <cols>
    <col min="1" max="1" width="2.7109375" style="51" customWidth="1"/>
    <col min="2" max="2" width="30.7109375" style="51" customWidth="1"/>
    <col min="3" max="3" width="30.28515625" style="51" customWidth="1"/>
    <col min="4" max="4" width="31.7109375" style="51" customWidth="1"/>
    <col min="5" max="5" width="23.28515625" style="51" customWidth="1"/>
    <col min="6" max="6" width="38.42578125" style="51" customWidth="1"/>
    <col min="7" max="16384" width="9.28515625" style="51"/>
  </cols>
  <sheetData>
    <row r="1" spans="2:6" ht="20.25" customHeight="1" x14ac:dyDescent="0.15">
      <c r="B1" s="64"/>
      <c r="C1" s="64"/>
      <c r="D1" s="64"/>
      <c r="E1" s="64"/>
      <c r="F1" s="64"/>
    </row>
    <row r="2" spans="2:6" x14ac:dyDescent="0.15">
      <c r="B2" s="216" t="s">
        <v>165</v>
      </c>
      <c r="C2" s="216"/>
      <c r="D2" s="216"/>
      <c r="E2" s="216"/>
      <c r="F2" s="216"/>
    </row>
    <row r="3" spans="2:6" x14ac:dyDescent="0.15">
      <c r="B3" s="62"/>
      <c r="C3" s="62"/>
      <c r="D3" s="62"/>
      <c r="E3" s="62"/>
      <c r="F3" s="62"/>
    </row>
    <row r="4" spans="2:6" ht="20.25" customHeight="1" x14ac:dyDescent="0.15">
      <c r="B4" s="217" t="s">
        <v>261</v>
      </c>
      <c r="C4" s="217"/>
      <c r="D4" s="217"/>
      <c r="E4" s="217"/>
      <c r="F4" s="217"/>
    </row>
    <row r="5" spans="2:6" x14ac:dyDescent="0.15">
      <c r="B5" s="64"/>
      <c r="C5" s="64"/>
      <c r="D5" s="64"/>
      <c r="E5" s="64"/>
      <c r="F5" s="64"/>
    </row>
    <row r="6" spans="2:6" x14ac:dyDescent="0.15">
      <c r="B6" s="53" t="s">
        <v>262</v>
      </c>
      <c r="C6" s="72"/>
      <c r="D6" s="72"/>
      <c r="E6" s="72"/>
      <c r="F6" s="72"/>
    </row>
    <row r="7" spans="2:6" x14ac:dyDescent="0.15">
      <c r="B7" s="73" t="s">
        <v>263</v>
      </c>
      <c r="C7" s="74"/>
      <c r="D7" s="74"/>
      <c r="E7" s="74"/>
      <c r="F7" s="74"/>
    </row>
    <row r="8" spans="2:6" x14ac:dyDescent="0.15">
      <c r="B8" s="73"/>
      <c r="C8" s="74"/>
      <c r="D8" s="74"/>
      <c r="E8" s="74"/>
      <c r="F8" s="74"/>
    </row>
    <row r="9" spans="2:6" x14ac:dyDescent="0.15">
      <c r="B9" s="73" t="s">
        <v>264</v>
      </c>
      <c r="C9" s="74"/>
      <c r="D9" s="74"/>
      <c r="E9" s="74"/>
      <c r="F9" s="74"/>
    </row>
    <row r="10" spans="2:6" x14ac:dyDescent="0.15">
      <c r="B10" s="73" t="s">
        <v>265</v>
      </c>
      <c r="C10" s="74"/>
      <c r="D10" s="74"/>
      <c r="E10" s="74"/>
      <c r="F10" s="74"/>
    </row>
    <row r="11" spans="2:6" x14ac:dyDescent="0.15">
      <c r="B11" s="73" t="s">
        <v>266</v>
      </c>
      <c r="C11" s="74"/>
      <c r="D11" s="74"/>
      <c r="E11" s="74"/>
      <c r="F11" s="74"/>
    </row>
    <row r="12" spans="2:6" x14ac:dyDescent="0.15">
      <c r="B12" s="73" t="s">
        <v>267</v>
      </c>
      <c r="C12" s="74"/>
      <c r="D12" s="74"/>
      <c r="E12" s="74"/>
      <c r="F12" s="74"/>
    </row>
    <row r="13" spans="2:6" x14ac:dyDescent="0.15">
      <c r="B13" s="73" t="s">
        <v>268</v>
      </c>
      <c r="C13" s="74"/>
      <c r="D13" s="74"/>
      <c r="E13" s="74"/>
      <c r="F13" s="74"/>
    </row>
    <row r="14" spans="2:6" x14ac:dyDescent="0.15">
      <c r="B14" s="75" t="s">
        <v>269</v>
      </c>
      <c r="C14" s="76"/>
      <c r="D14" s="76"/>
      <c r="E14" s="76"/>
      <c r="F14" s="76"/>
    </row>
    <row r="16" spans="2:6" x14ac:dyDescent="0.15">
      <c r="B16" s="54" t="s">
        <v>270</v>
      </c>
      <c r="C16" s="64"/>
      <c r="D16" s="64"/>
      <c r="E16" s="64"/>
      <c r="F16" s="64"/>
    </row>
    <row r="17" spans="2:6" ht="15" thickBot="1" x14ac:dyDescent="0.2">
      <c r="B17" s="55" t="s">
        <v>271</v>
      </c>
      <c r="C17" s="55" t="s">
        <v>272</v>
      </c>
      <c r="D17" s="55" t="s">
        <v>273</v>
      </c>
      <c r="E17" s="55"/>
      <c r="F17" s="64"/>
    </row>
    <row r="18" spans="2:6" ht="16" thickTop="1" thickBot="1" x14ac:dyDescent="0.2">
      <c r="B18" s="64" t="s">
        <v>274</v>
      </c>
      <c r="C18" s="56">
        <v>2.4E-2</v>
      </c>
      <c r="D18" s="64" t="s">
        <v>275</v>
      </c>
      <c r="E18" s="57" t="s">
        <v>276</v>
      </c>
      <c r="F18" s="64"/>
    </row>
    <row r="19" spans="2:6" ht="15" thickTop="1" x14ac:dyDescent="0.15">
      <c r="B19" s="64" t="s">
        <v>277</v>
      </c>
      <c r="C19" s="77">
        <f>1+C18</f>
        <v>1.024</v>
      </c>
      <c r="D19" s="64" t="s">
        <v>278</v>
      </c>
      <c r="E19" s="64"/>
      <c r="F19" s="64"/>
    </row>
    <row r="20" spans="2:6" x14ac:dyDescent="0.15">
      <c r="B20" s="58" t="s">
        <v>279</v>
      </c>
      <c r="C20" s="59">
        <v>1.7000000000000001E-2</v>
      </c>
      <c r="D20" s="58" t="s">
        <v>280</v>
      </c>
      <c r="E20" s="58"/>
      <c r="F20" s="57" t="s">
        <v>276</v>
      </c>
    </row>
    <row r="21" spans="2:6" x14ac:dyDescent="0.15">
      <c r="B21" s="58"/>
      <c r="C21" s="59"/>
      <c r="D21" s="58"/>
      <c r="E21" s="58"/>
      <c r="F21" s="57"/>
    </row>
    <row r="22" spans="2:6" x14ac:dyDescent="0.15">
      <c r="B22" s="52" t="s">
        <v>281</v>
      </c>
      <c r="C22" s="64"/>
      <c r="D22" s="64"/>
      <c r="E22" s="64"/>
      <c r="F22" s="64"/>
    </row>
    <row r="23" spans="2:6" x14ac:dyDescent="0.15">
      <c r="B23" s="55" t="s">
        <v>282</v>
      </c>
      <c r="C23" s="55" t="s">
        <v>283</v>
      </c>
      <c r="D23" s="55" t="s">
        <v>284</v>
      </c>
      <c r="E23" s="55" t="s">
        <v>285</v>
      </c>
      <c r="F23" s="55" t="s">
        <v>65</v>
      </c>
    </row>
    <row r="24" spans="2:6" x14ac:dyDescent="0.15">
      <c r="B24" s="64" t="s">
        <v>7</v>
      </c>
      <c r="C24" s="78">
        <v>58356</v>
      </c>
      <c r="D24" s="78">
        <f>ROUND(C24*$C$19,0)</f>
        <v>59757</v>
      </c>
      <c r="E24" s="78">
        <f>D24-C24</f>
        <v>1401</v>
      </c>
      <c r="F24" s="64" t="s">
        <v>286</v>
      </c>
    </row>
    <row r="26" spans="2:6" x14ac:dyDescent="0.15">
      <c r="B26" s="52" t="s">
        <v>287</v>
      </c>
      <c r="C26" s="64"/>
      <c r="D26" s="64"/>
      <c r="E26" s="64"/>
      <c r="F26" s="64"/>
    </row>
    <row r="27" spans="2:6" x14ac:dyDescent="0.15">
      <c r="B27" s="55" t="s">
        <v>288</v>
      </c>
      <c r="C27" s="55" t="s">
        <v>283</v>
      </c>
      <c r="D27" s="55" t="s">
        <v>284</v>
      </c>
      <c r="E27" s="55" t="s">
        <v>285</v>
      </c>
      <c r="F27" s="55" t="s">
        <v>289</v>
      </c>
    </row>
    <row r="28" spans="2:6" x14ac:dyDescent="0.15">
      <c r="B28" s="79" t="s">
        <v>290</v>
      </c>
      <c r="C28" s="80">
        <v>1017</v>
      </c>
      <c r="D28" s="80">
        <f t="shared" ref="D28:D33" si="0">ROUND(C28*$C$19,0)</f>
        <v>1041</v>
      </c>
      <c r="E28" s="80">
        <f t="shared" ref="E28:E33" si="1">D28-C28</f>
        <v>24</v>
      </c>
      <c r="F28" s="79" t="s">
        <v>291</v>
      </c>
    </row>
    <row r="29" spans="2:6" x14ac:dyDescent="0.15">
      <c r="B29" s="64" t="s">
        <v>292</v>
      </c>
      <c r="C29" s="78">
        <v>3219</v>
      </c>
      <c r="D29" s="78">
        <f t="shared" si="0"/>
        <v>3296</v>
      </c>
      <c r="E29" s="78">
        <f t="shared" si="1"/>
        <v>77</v>
      </c>
      <c r="F29" s="64" t="s">
        <v>11</v>
      </c>
    </row>
    <row r="30" spans="2:6" x14ac:dyDescent="0.15">
      <c r="B30" s="79" t="s">
        <v>293</v>
      </c>
      <c r="C30" s="80">
        <v>6438</v>
      </c>
      <c r="D30" s="80">
        <f t="shared" si="0"/>
        <v>6593</v>
      </c>
      <c r="E30" s="80">
        <f t="shared" si="1"/>
        <v>155</v>
      </c>
      <c r="F30" s="79" t="s">
        <v>294</v>
      </c>
    </row>
    <row r="31" spans="2:6" x14ac:dyDescent="0.15">
      <c r="B31" s="64" t="s">
        <v>295</v>
      </c>
      <c r="C31" s="78">
        <v>9657</v>
      </c>
      <c r="D31" s="78">
        <f t="shared" si="0"/>
        <v>9889</v>
      </c>
      <c r="E31" s="78">
        <f t="shared" si="1"/>
        <v>232</v>
      </c>
      <c r="F31" s="64" t="s">
        <v>296</v>
      </c>
    </row>
    <row r="32" spans="2:6" x14ac:dyDescent="0.15">
      <c r="B32" s="79" t="s">
        <v>297</v>
      </c>
      <c r="C32" s="80">
        <v>12876</v>
      </c>
      <c r="D32" s="80">
        <f t="shared" si="0"/>
        <v>13185</v>
      </c>
      <c r="E32" s="80">
        <f t="shared" si="1"/>
        <v>309</v>
      </c>
      <c r="F32" s="79" t="s">
        <v>298</v>
      </c>
    </row>
    <row r="33" spans="2:6" x14ac:dyDescent="0.15">
      <c r="B33" s="64" t="s">
        <v>299</v>
      </c>
      <c r="C33" s="78">
        <v>16095</v>
      </c>
      <c r="D33" s="78">
        <f t="shared" si="0"/>
        <v>16481</v>
      </c>
      <c r="E33" s="78">
        <f t="shared" si="1"/>
        <v>386</v>
      </c>
      <c r="F33" s="64" t="s">
        <v>300</v>
      </c>
    </row>
    <row r="35" spans="2:6" x14ac:dyDescent="0.15">
      <c r="B35" s="52" t="s">
        <v>301</v>
      </c>
      <c r="C35" s="64"/>
      <c r="D35" s="64"/>
      <c r="E35" s="64"/>
      <c r="F35" s="64"/>
    </row>
    <row r="36" spans="2:6" x14ac:dyDescent="0.15">
      <c r="B36" s="55" t="s">
        <v>302</v>
      </c>
      <c r="C36" s="55" t="s">
        <v>283</v>
      </c>
      <c r="D36" s="55" t="s">
        <v>284</v>
      </c>
      <c r="E36" s="55" t="s">
        <v>285</v>
      </c>
      <c r="F36" s="55" t="s">
        <v>65</v>
      </c>
    </row>
    <row r="37" spans="2:6" x14ac:dyDescent="0.15">
      <c r="B37" s="64" t="s">
        <v>303</v>
      </c>
      <c r="C37" s="81">
        <v>935</v>
      </c>
      <c r="D37" s="81">
        <f>ROUND(C37*$C$19,2)</f>
        <v>957.44</v>
      </c>
      <c r="E37" s="81">
        <f>D37-C37</f>
        <v>22.440000000000055</v>
      </c>
      <c r="F37" s="64" t="s">
        <v>304</v>
      </c>
    </row>
    <row r="39" spans="2:6" x14ac:dyDescent="0.15">
      <c r="B39" s="60" t="s">
        <v>305</v>
      </c>
      <c r="C39" s="64"/>
      <c r="D39" s="64"/>
      <c r="E39" s="64"/>
      <c r="F39" s="64"/>
    </row>
    <row r="40" spans="2:6" x14ac:dyDescent="0.15">
      <c r="B40" s="55" t="s">
        <v>306</v>
      </c>
      <c r="C40" s="55" t="s">
        <v>307</v>
      </c>
      <c r="D40" s="55" t="s">
        <v>284</v>
      </c>
      <c r="E40" s="55" t="s">
        <v>289</v>
      </c>
      <c r="F40" s="64"/>
    </row>
    <row r="41" spans="2:6" x14ac:dyDescent="0.15">
      <c r="B41" s="79">
        <v>0</v>
      </c>
      <c r="C41" s="80">
        <f t="shared" ref="C41:C51" si="2">$C$37*B41</f>
        <v>0</v>
      </c>
      <c r="D41" s="80">
        <f t="shared" ref="D41:D51" si="3">$D$37*B41</f>
        <v>0</v>
      </c>
      <c r="E41" s="79" t="s">
        <v>120</v>
      </c>
      <c r="F41" s="64"/>
    </row>
    <row r="42" spans="2:6" x14ac:dyDescent="0.15">
      <c r="B42" s="64">
        <v>1</v>
      </c>
      <c r="C42" s="78">
        <f t="shared" si="2"/>
        <v>935</v>
      </c>
      <c r="D42" s="78">
        <f t="shared" si="3"/>
        <v>957.44</v>
      </c>
      <c r="E42" s="64" t="s">
        <v>123</v>
      </c>
      <c r="F42" s="64"/>
    </row>
    <row r="43" spans="2:6" x14ac:dyDescent="0.15">
      <c r="B43" s="79">
        <v>2</v>
      </c>
      <c r="C43" s="80">
        <f t="shared" si="2"/>
        <v>1870</v>
      </c>
      <c r="D43" s="80">
        <f t="shared" si="3"/>
        <v>1914.88</v>
      </c>
      <c r="E43" s="79" t="s">
        <v>125</v>
      </c>
      <c r="F43" s="64"/>
    </row>
    <row r="44" spans="2:6" x14ac:dyDescent="0.15">
      <c r="B44" s="64">
        <v>3</v>
      </c>
      <c r="C44" s="78">
        <f t="shared" si="2"/>
        <v>2805</v>
      </c>
      <c r="D44" s="78">
        <f t="shared" si="3"/>
        <v>2872.32</v>
      </c>
      <c r="E44" s="64" t="s">
        <v>126</v>
      </c>
      <c r="F44" s="64"/>
    </row>
    <row r="45" spans="2:6" x14ac:dyDescent="0.15">
      <c r="B45" s="79">
        <v>4</v>
      </c>
      <c r="C45" s="80">
        <f t="shared" si="2"/>
        <v>3740</v>
      </c>
      <c r="D45" s="80">
        <f t="shared" si="3"/>
        <v>3829.76</v>
      </c>
      <c r="E45" s="79" t="s">
        <v>127</v>
      </c>
      <c r="F45" s="64"/>
    </row>
    <row r="46" spans="2:6" x14ac:dyDescent="0.15">
      <c r="B46" s="64">
        <v>5</v>
      </c>
      <c r="C46" s="78">
        <f t="shared" si="2"/>
        <v>4675</v>
      </c>
      <c r="D46" s="78">
        <f t="shared" si="3"/>
        <v>4787.2000000000007</v>
      </c>
      <c r="E46" s="64" t="s">
        <v>128</v>
      </c>
      <c r="F46" s="64"/>
    </row>
    <row r="47" spans="2:6" x14ac:dyDescent="0.15">
      <c r="B47" s="79">
        <v>6</v>
      </c>
      <c r="C47" s="80">
        <f t="shared" si="2"/>
        <v>5610</v>
      </c>
      <c r="D47" s="80">
        <f t="shared" si="3"/>
        <v>5744.64</v>
      </c>
      <c r="E47" s="79" t="s">
        <v>129</v>
      </c>
      <c r="F47" s="64"/>
    </row>
    <row r="48" spans="2:6" x14ac:dyDescent="0.15">
      <c r="B48" s="64">
        <v>7</v>
      </c>
      <c r="C48" s="78">
        <f t="shared" si="2"/>
        <v>6545</v>
      </c>
      <c r="D48" s="78">
        <f t="shared" si="3"/>
        <v>6702.08</v>
      </c>
      <c r="E48" s="64" t="s">
        <v>130</v>
      </c>
      <c r="F48" s="64"/>
    </row>
    <row r="49" spans="2:6" x14ac:dyDescent="0.15">
      <c r="B49" s="79">
        <v>8</v>
      </c>
      <c r="C49" s="80">
        <f t="shared" si="2"/>
        <v>7480</v>
      </c>
      <c r="D49" s="80">
        <f t="shared" si="3"/>
        <v>7659.52</v>
      </c>
      <c r="E49" s="79" t="s">
        <v>13</v>
      </c>
      <c r="F49" s="64"/>
    </row>
    <row r="50" spans="2:6" x14ac:dyDescent="0.15">
      <c r="B50" s="64">
        <v>9</v>
      </c>
      <c r="C50" s="78">
        <f t="shared" si="2"/>
        <v>8415</v>
      </c>
      <c r="D50" s="78">
        <f t="shared" si="3"/>
        <v>8616.9600000000009</v>
      </c>
      <c r="E50" s="64" t="s">
        <v>132</v>
      </c>
      <c r="F50" s="64"/>
    </row>
    <row r="51" spans="2:6" x14ac:dyDescent="0.15">
      <c r="B51" s="79">
        <v>10</v>
      </c>
      <c r="C51" s="80">
        <f t="shared" si="2"/>
        <v>9350</v>
      </c>
      <c r="D51" s="80">
        <f t="shared" si="3"/>
        <v>9574.4000000000015</v>
      </c>
      <c r="E51" s="79" t="s">
        <v>133</v>
      </c>
      <c r="F51" s="64"/>
    </row>
    <row r="53" spans="2:6" x14ac:dyDescent="0.15">
      <c r="B53" s="52" t="s">
        <v>308</v>
      </c>
      <c r="C53" s="64"/>
      <c r="D53" s="64"/>
      <c r="E53" s="64"/>
      <c r="F53" s="64"/>
    </row>
    <row r="54" spans="2:6" x14ac:dyDescent="0.15">
      <c r="B54" s="55" t="s">
        <v>309</v>
      </c>
      <c r="C54" s="55" t="s">
        <v>283</v>
      </c>
      <c r="D54" s="55" t="s">
        <v>284</v>
      </c>
      <c r="E54" s="55" t="s">
        <v>285</v>
      </c>
      <c r="F54" s="55" t="s">
        <v>289</v>
      </c>
    </row>
    <row r="55" spans="2:6" x14ac:dyDescent="0.15">
      <c r="B55" s="64" t="s">
        <v>310</v>
      </c>
      <c r="C55" s="78">
        <v>0</v>
      </c>
      <c r="D55" s="78">
        <f>ROUND(C55*$C$19,0)</f>
        <v>0</v>
      </c>
      <c r="E55" s="78">
        <f>D55-C55</f>
        <v>0</v>
      </c>
      <c r="F55" s="64" t="s">
        <v>310</v>
      </c>
    </row>
    <row r="56" spans="2:6" x14ac:dyDescent="0.15">
      <c r="B56" s="64" t="s">
        <v>311</v>
      </c>
      <c r="C56" s="78">
        <v>1454</v>
      </c>
      <c r="D56" s="78">
        <f>ROUND(C56*$C$19,0)</f>
        <v>1489</v>
      </c>
      <c r="E56" s="78">
        <f>D56-C56</f>
        <v>35</v>
      </c>
      <c r="F56" s="64" t="s">
        <v>311</v>
      </c>
    </row>
    <row r="57" spans="2:6" x14ac:dyDescent="0.15">
      <c r="B57" s="64" t="s">
        <v>15</v>
      </c>
      <c r="C57" s="78">
        <v>2907</v>
      </c>
      <c r="D57" s="78">
        <f>ROUND(C57*$C$19,0)</f>
        <v>2977</v>
      </c>
      <c r="E57" s="78">
        <f>D57-C57</f>
        <v>70</v>
      </c>
      <c r="F57" s="64" t="s">
        <v>15</v>
      </c>
    </row>
    <row r="58" spans="2:6" x14ac:dyDescent="0.15">
      <c r="B58" s="64" t="s">
        <v>312</v>
      </c>
      <c r="C58" s="78">
        <v>4361</v>
      </c>
      <c r="D58" s="78">
        <f>ROUND(C58*$C$19,0)</f>
        <v>4466</v>
      </c>
      <c r="E58" s="78">
        <f>D58-C58</f>
        <v>105</v>
      </c>
      <c r="F58" s="64" t="s">
        <v>312</v>
      </c>
    </row>
    <row r="60" spans="2:6" x14ac:dyDescent="0.15">
      <c r="B60" s="52" t="s">
        <v>313</v>
      </c>
      <c r="C60" s="64"/>
      <c r="D60" s="64"/>
      <c r="E60" s="64"/>
      <c r="F60" s="64"/>
    </row>
    <row r="61" spans="2:6" x14ac:dyDescent="0.15">
      <c r="B61" s="55" t="s">
        <v>282</v>
      </c>
      <c r="C61" s="55" t="s">
        <v>283</v>
      </c>
      <c r="D61" s="55" t="s">
        <v>314</v>
      </c>
      <c r="E61" s="55" t="s">
        <v>285</v>
      </c>
      <c r="F61" s="55" t="s">
        <v>65</v>
      </c>
    </row>
    <row r="62" spans="2:6" ht="30" x14ac:dyDescent="0.15">
      <c r="B62" s="64" t="s">
        <v>315</v>
      </c>
      <c r="C62" s="78">
        <v>7788</v>
      </c>
      <c r="D62" s="78">
        <f>C62*$C$19</f>
        <v>7974.9120000000003</v>
      </c>
      <c r="E62" s="78">
        <f>D62-C62</f>
        <v>186.91200000000026</v>
      </c>
      <c r="F62" s="65" t="s">
        <v>316</v>
      </c>
    </row>
    <row r="64" spans="2:6" x14ac:dyDescent="0.15">
      <c r="B64" s="52" t="s">
        <v>317</v>
      </c>
      <c r="C64" s="64"/>
      <c r="D64" s="64"/>
      <c r="E64" s="64"/>
      <c r="F64" s="64"/>
    </row>
    <row r="65" spans="2:6" x14ac:dyDescent="0.15">
      <c r="B65" s="55" t="s">
        <v>318</v>
      </c>
      <c r="C65" s="55" t="s">
        <v>319</v>
      </c>
      <c r="D65" s="55" t="s">
        <v>65</v>
      </c>
      <c r="E65" s="64"/>
      <c r="F65" s="64"/>
    </row>
    <row r="66" spans="2:6" x14ac:dyDescent="0.15">
      <c r="B66" s="64" t="s">
        <v>17</v>
      </c>
      <c r="C66" s="82">
        <v>1</v>
      </c>
      <c r="D66" s="64" t="s">
        <v>320</v>
      </c>
      <c r="E66" s="64"/>
      <c r="F66" s="64"/>
    </row>
    <row r="67" spans="2:6" x14ac:dyDescent="0.15">
      <c r="B67" s="64" t="s">
        <v>19</v>
      </c>
      <c r="C67" s="82">
        <v>0.93</v>
      </c>
      <c r="D67" s="64" t="s">
        <v>321</v>
      </c>
      <c r="E67" s="64"/>
      <c r="F67" s="64"/>
    </row>
    <row r="68" spans="2:6" x14ac:dyDescent="0.15">
      <c r="B68" s="64" t="s">
        <v>20</v>
      </c>
      <c r="C68" s="82">
        <v>0.85</v>
      </c>
      <c r="D68" s="64" t="s">
        <v>322</v>
      </c>
      <c r="E68" s="64"/>
      <c r="F68" s="64"/>
    </row>
    <row r="69" spans="2:6" x14ac:dyDescent="0.15">
      <c r="B69" s="64" t="s">
        <v>21</v>
      </c>
      <c r="C69" s="82">
        <v>0.78</v>
      </c>
      <c r="D69" s="64" t="s">
        <v>323</v>
      </c>
      <c r="E69" s="64"/>
      <c r="F69" s="64"/>
    </row>
    <row r="70" spans="2:6" x14ac:dyDescent="0.15">
      <c r="B70" s="64" t="s">
        <v>23</v>
      </c>
      <c r="C70" s="82">
        <v>0.7</v>
      </c>
      <c r="D70" s="64" t="s">
        <v>324</v>
      </c>
      <c r="E70" s="64"/>
      <c r="F70" s="64"/>
    </row>
    <row r="71" spans="2:6" ht="30" x14ac:dyDescent="0.15">
      <c r="B71" s="64" t="s">
        <v>325</v>
      </c>
      <c r="C71" s="82">
        <v>1.0900000000000001</v>
      </c>
      <c r="D71" s="65" t="s">
        <v>326</v>
      </c>
      <c r="E71" s="64"/>
      <c r="F71" s="64"/>
    </row>
    <row r="72" spans="2:6" x14ac:dyDescent="0.15">
      <c r="B72" s="64"/>
      <c r="C72" s="82"/>
      <c r="D72" s="65"/>
      <c r="E72" s="64"/>
      <c r="F72" s="64"/>
    </row>
    <row r="73" spans="2:6" x14ac:dyDescent="0.15">
      <c r="B73" s="52" t="s">
        <v>327</v>
      </c>
      <c r="C73" s="64"/>
      <c r="D73" s="64"/>
      <c r="E73" s="64"/>
      <c r="F73" s="64"/>
    </row>
    <row r="74" spans="2:6" ht="30.5" customHeight="1" x14ac:dyDescent="0.15">
      <c r="B74" s="215" t="s">
        <v>328</v>
      </c>
      <c r="C74" s="215"/>
      <c r="D74" s="215"/>
      <c r="E74" s="215"/>
      <c r="F74" s="215"/>
    </row>
    <row r="75" spans="2:6" x14ac:dyDescent="0.15">
      <c r="B75" s="55" t="s">
        <v>74</v>
      </c>
      <c r="C75" s="55" t="s">
        <v>283</v>
      </c>
      <c r="D75" s="55" t="s">
        <v>284</v>
      </c>
      <c r="E75" s="55" t="s">
        <v>285</v>
      </c>
      <c r="F75" s="55" t="s">
        <v>65</v>
      </c>
    </row>
    <row r="76" spans="2:6" x14ac:dyDescent="0.15">
      <c r="B76" s="64" t="s">
        <v>103</v>
      </c>
      <c r="C76" s="78">
        <v>23467</v>
      </c>
      <c r="D76" s="78">
        <f t="shared" ref="D76:D106" si="4">ROUND(C76*$C$19,0)</f>
        <v>24030</v>
      </c>
      <c r="E76" s="78">
        <f t="shared" ref="E76:E106" si="5">D76-C76</f>
        <v>563</v>
      </c>
      <c r="F76" s="64"/>
    </row>
    <row r="77" spans="2:6" x14ac:dyDescent="0.15">
      <c r="B77" s="64" t="s">
        <v>97</v>
      </c>
      <c r="C77" s="78">
        <v>17860</v>
      </c>
      <c r="D77" s="78">
        <f t="shared" si="4"/>
        <v>18289</v>
      </c>
      <c r="E77" s="78">
        <f t="shared" si="5"/>
        <v>429</v>
      </c>
      <c r="F77" s="64"/>
    </row>
    <row r="78" spans="2:6" x14ac:dyDescent="0.15">
      <c r="B78" s="64" t="s">
        <v>82</v>
      </c>
      <c r="C78" s="78">
        <v>8530</v>
      </c>
      <c r="D78" s="78">
        <f t="shared" si="4"/>
        <v>8735</v>
      </c>
      <c r="E78" s="78">
        <f t="shared" si="5"/>
        <v>205</v>
      </c>
      <c r="F78" s="64"/>
    </row>
    <row r="79" spans="2:6" x14ac:dyDescent="0.15">
      <c r="B79" s="64" t="s">
        <v>95</v>
      </c>
      <c r="C79" s="78">
        <v>15990</v>
      </c>
      <c r="D79" s="78">
        <f t="shared" si="4"/>
        <v>16374</v>
      </c>
      <c r="E79" s="78">
        <f t="shared" si="5"/>
        <v>384</v>
      </c>
      <c r="F79" s="64"/>
    </row>
    <row r="80" spans="2:6" x14ac:dyDescent="0.15">
      <c r="B80" s="64" t="s">
        <v>329</v>
      </c>
      <c r="C80" s="78">
        <v>14122</v>
      </c>
      <c r="D80" s="78">
        <f t="shared" si="4"/>
        <v>14461</v>
      </c>
      <c r="E80" s="78">
        <f t="shared" si="5"/>
        <v>339</v>
      </c>
      <c r="F80" s="64" t="s">
        <v>330</v>
      </c>
    </row>
    <row r="81" spans="2:6" x14ac:dyDescent="0.15">
      <c r="B81" s="64" t="s">
        <v>104</v>
      </c>
      <c r="C81" s="78">
        <v>25336</v>
      </c>
      <c r="D81" s="78">
        <f t="shared" si="4"/>
        <v>25944</v>
      </c>
      <c r="E81" s="78">
        <f t="shared" si="5"/>
        <v>608</v>
      </c>
      <c r="F81" s="64"/>
    </row>
    <row r="82" spans="2:6" x14ac:dyDescent="0.15">
      <c r="B82" s="64" t="s">
        <v>9</v>
      </c>
      <c r="C82" s="78">
        <v>15990</v>
      </c>
      <c r="D82" s="78">
        <f t="shared" si="4"/>
        <v>16374</v>
      </c>
      <c r="E82" s="78">
        <f t="shared" si="5"/>
        <v>384</v>
      </c>
      <c r="F82" s="64"/>
    </row>
    <row r="83" spans="2:6" x14ac:dyDescent="0.15">
      <c r="B83" s="64" t="s">
        <v>99</v>
      </c>
      <c r="C83" s="78">
        <v>17860</v>
      </c>
      <c r="D83" s="78">
        <f t="shared" si="4"/>
        <v>18289</v>
      </c>
      <c r="E83" s="78">
        <f t="shared" si="5"/>
        <v>429</v>
      </c>
      <c r="F83" s="64"/>
    </row>
    <row r="84" spans="2:6" x14ac:dyDescent="0.15">
      <c r="B84" s="64" t="s">
        <v>83</v>
      </c>
      <c r="C84" s="78">
        <v>10399</v>
      </c>
      <c r="D84" s="78">
        <f t="shared" si="4"/>
        <v>10649</v>
      </c>
      <c r="E84" s="78">
        <f t="shared" si="5"/>
        <v>250</v>
      </c>
      <c r="F84" s="64"/>
    </row>
    <row r="85" spans="2:6" x14ac:dyDescent="0.15">
      <c r="B85" s="64" t="s">
        <v>101</v>
      </c>
      <c r="C85" s="78">
        <v>20663</v>
      </c>
      <c r="D85" s="78">
        <f t="shared" si="4"/>
        <v>21159</v>
      </c>
      <c r="E85" s="78">
        <f t="shared" si="5"/>
        <v>496</v>
      </c>
      <c r="F85" s="64"/>
    </row>
    <row r="86" spans="2:6" x14ac:dyDescent="0.15">
      <c r="B86" s="64" t="s">
        <v>94</v>
      </c>
      <c r="C86" s="78">
        <v>15990</v>
      </c>
      <c r="D86" s="78">
        <f t="shared" si="4"/>
        <v>16374</v>
      </c>
      <c r="E86" s="78">
        <f t="shared" si="5"/>
        <v>384</v>
      </c>
      <c r="F86" s="64"/>
    </row>
    <row r="87" spans="2:6" x14ac:dyDescent="0.15">
      <c r="B87" s="64" t="s">
        <v>98</v>
      </c>
      <c r="C87" s="78">
        <v>16925</v>
      </c>
      <c r="D87" s="78">
        <f t="shared" si="4"/>
        <v>17331</v>
      </c>
      <c r="E87" s="78">
        <f t="shared" si="5"/>
        <v>406</v>
      </c>
      <c r="F87" s="64"/>
    </row>
    <row r="88" spans="2:6" x14ac:dyDescent="0.15">
      <c r="B88" s="64" t="s">
        <v>88</v>
      </c>
      <c r="C88" s="78">
        <v>12253</v>
      </c>
      <c r="D88" s="78">
        <f t="shared" si="4"/>
        <v>12547</v>
      </c>
      <c r="E88" s="78">
        <f t="shared" si="5"/>
        <v>294</v>
      </c>
      <c r="F88" s="64"/>
    </row>
    <row r="89" spans="2:6" x14ac:dyDescent="0.15">
      <c r="B89" s="64" t="s">
        <v>91</v>
      </c>
      <c r="C89" s="78">
        <v>14122</v>
      </c>
      <c r="D89" s="78">
        <f t="shared" si="4"/>
        <v>14461</v>
      </c>
      <c r="E89" s="78">
        <f t="shared" si="5"/>
        <v>339</v>
      </c>
      <c r="F89" s="64"/>
    </row>
    <row r="90" spans="2:6" x14ac:dyDescent="0.15">
      <c r="B90" s="64" t="s">
        <v>93</v>
      </c>
      <c r="C90" s="78">
        <v>15990</v>
      </c>
      <c r="D90" s="78">
        <f t="shared" si="4"/>
        <v>16374</v>
      </c>
      <c r="E90" s="78">
        <f t="shared" si="5"/>
        <v>384</v>
      </c>
      <c r="F90" s="64"/>
    </row>
    <row r="91" spans="2:6" x14ac:dyDescent="0.15">
      <c r="B91" s="64" t="s">
        <v>107</v>
      </c>
      <c r="C91" s="78">
        <v>30112</v>
      </c>
      <c r="D91" s="78">
        <f t="shared" si="4"/>
        <v>30835</v>
      </c>
      <c r="E91" s="78">
        <f t="shared" si="5"/>
        <v>723</v>
      </c>
      <c r="F91" s="64"/>
    </row>
    <row r="92" spans="2:6" x14ac:dyDescent="0.15">
      <c r="B92" s="64" t="s">
        <v>331</v>
      </c>
      <c r="C92" s="78">
        <v>14122</v>
      </c>
      <c r="D92" s="78">
        <f t="shared" si="4"/>
        <v>14461</v>
      </c>
      <c r="E92" s="78">
        <f t="shared" si="5"/>
        <v>339</v>
      </c>
      <c r="F92" s="64" t="s">
        <v>330</v>
      </c>
    </row>
    <row r="93" spans="2:6" x14ac:dyDescent="0.15">
      <c r="B93" s="64" t="s">
        <v>108</v>
      </c>
      <c r="C93" s="78">
        <v>33851</v>
      </c>
      <c r="D93" s="78">
        <f t="shared" si="4"/>
        <v>34663</v>
      </c>
      <c r="E93" s="78">
        <f t="shared" si="5"/>
        <v>812</v>
      </c>
      <c r="F93" s="64"/>
    </row>
    <row r="94" spans="2:6" x14ac:dyDescent="0.15">
      <c r="B94" s="64" t="s">
        <v>84</v>
      </c>
      <c r="C94" s="78">
        <v>11318</v>
      </c>
      <c r="D94" s="78">
        <f t="shared" si="4"/>
        <v>11590</v>
      </c>
      <c r="E94" s="78">
        <f t="shared" si="5"/>
        <v>272</v>
      </c>
      <c r="F94" s="64"/>
    </row>
    <row r="95" spans="2:6" x14ac:dyDescent="0.15">
      <c r="B95" s="64" t="s">
        <v>100</v>
      </c>
      <c r="C95" s="78">
        <v>20663</v>
      </c>
      <c r="D95" s="78">
        <f t="shared" si="4"/>
        <v>21159</v>
      </c>
      <c r="E95" s="78">
        <f t="shared" si="5"/>
        <v>496</v>
      </c>
      <c r="F95" s="64"/>
    </row>
    <row r="96" spans="2:6" x14ac:dyDescent="0.15">
      <c r="B96" s="64" t="s">
        <v>96</v>
      </c>
      <c r="C96" s="78">
        <v>16925</v>
      </c>
      <c r="D96" s="78">
        <f t="shared" si="4"/>
        <v>17331</v>
      </c>
      <c r="E96" s="78">
        <f t="shared" si="5"/>
        <v>406</v>
      </c>
      <c r="F96" s="64"/>
    </row>
    <row r="97" spans="2:6" x14ac:dyDescent="0.15">
      <c r="B97" s="64" t="s">
        <v>92</v>
      </c>
      <c r="C97" s="78">
        <v>15990</v>
      </c>
      <c r="D97" s="78">
        <f t="shared" si="4"/>
        <v>16374</v>
      </c>
      <c r="E97" s="78">
        <f t="shared" si="5"/>
        <v>384</v>
      </c>
      <c r="F97" s="64"/>
    </row>
    <row r="98" spans="2:6" x14ac:dyDescent="0.15">
      <c r="B98" s="64" t="s">
        <v>81</v>
      </c>
      <c r="C98" s="78">
        <v>1000</v>
      </c>
      <c r="D98" s="78">
        <f t="shared" si="4"/>
        <v>1024</v>
      </c>
      <c r="E98" s="78">
        <f t="shared" si="5"/>
        <v>24</v>
      </c>
      <c r="F98" s="64"/>
    </row>
    <row r="99" spans="2:6" x14ac:dyDescent="0.15">
      <c r="B99" s="64" t="s">
        <v>332</v>
      </c>
      <c r="C99" s="78">
        <v>8530</v>
      </c>
      <c r="D99" s="78">
        <f t="shared" si="4"/>
        <v>8735</v>
      </c>
      <c r="E99" s="78">
        <f t="shared" si="5"/>
        <v>205</v>
      </c>
      <c r="F99" s="64" t="s">
        <v>333</v>
      </c>
    </row>
    <row r="100" spans="2:6" x14ac:dyDescent="0.15">
      <c r="B100" s="64" t="s">
        <v>87</v>
      </c>
      <c r="C100" s="78">
        <v>11214</v>
      </c>
      <c r="D100" s="78">
        <f t="shared" si="4"/>
        <v>11483</v>
      </c>
      <c r="E100" s="78">
        <f t="shared" si="5"/>
        <v>269</v>
      </c>
      <c r="F100" s="64"/>
    </row>
    <row r="101" spans="2:6" x14ac:dyDescent="0.15">
      <c r="B101" s="64" t="s">
        <v>85</v>
      </c>
      <c r="C101" s="78">
        <v>12269</v>
      </c>
      <c r="D101" s="78">
        <f t="shared" si="4"/>
        <v>12563</v>
      </c>
      <c r="E101" s="78">
        <f t="shared" si="5"/>
        <v>294</v>
      </c>
      <c r="F101" s="64"/>
    </row>
    <row r="102" spans="2:6" x14ac:dyDescent="0.15">
      <c r="B102" s="64" t="s">
        <v>105</v>
      </c>
      <c r="C102" s="78">
        <v>28243</v>
      </c>
      <c r="D102" s="78">
        <f t="shared" si="4"/>
        <v>28921</v>
      </c>
      <c r="E102" s="78">
        <f t="shared" si="5"/>
        <v>678</v>
      </c>
      <c r="F102" s="64"/>
    </row>
    <row r="103" spans="2:6" x14ac:dyDescent="0.15">
      <c r="B103" s="64" t="s">
        <v>106</v>
      </c>
      <c r="C103" s="78">
        <v>30112</v>
      </c>
      <c r="D103" s="78">
        <f t="shared" si="4"/>
        <v>30835</v>
      </c>
      <c r="E103" s="78">
        <f t="shared" si="5"/>
        <v>723</v>
      </c>
      <c r="F103" s="64"/>
    </row>
    <row r="104" spans="2:6" x14ac:dyDescent="0.15">
      <c r="B104" s="64" t="s">
        <v>102</v>
      </c>
      <c r="C104" s="78">
        <v>22533</v>
      </c>
      <c r="D104" s="78">
        <f t="shared" si="4"/>
        <v>23074</v>
      </c>
      <c r="E104" s="78">
        <f t="shared" si="5"/>
        <v>541</v>
      </c>
      <c r="F104" s="64"/>
    </row>
    <row r="105" spans="2:6" x14ac:dyDescent="0.15">
      <c r="B105" s="64" t="s">
        <v>89</v>
      </c>
      <c r="C105" s="78">
        <v>11318</v>
      </c>
      <c r="D105" s="78">
        <f t="shared" si="4"/>
        <v>11590</v>
      </c>
      <c r="E105" s="78">
        <f t="shared" si="5"/>
        <v>272</v>
      </c>
      <c r="F105" s="64"/>
    </row>
    <row r="106" spans="2:6" x14ac:dyDescent="0.15">
      <c r="B106" s="64" t="s">
        <v>86</v>
      </c>
      <c r="C106" s="78">
        <v>12269</v>
      </c>
      <c r="D106" s="78">
        <f t="shared" si="4"/>
        <v>12563</v>
      </c>
      <c r="E106" s="78">
        <f t="shared" si="5"/>
        <v>294</v>
      </c>
      <c r="F106" s="64"/>
    </row>
    <row r="108" spans="2:6" x14ac:dyDescent="0.15">
      <c r="B108" s="52" t="s">
        <v>334</v>
      </c>
      <c r="C108" s="64"/>
      <c r="D108" s="64"/>
      <c r="E108" s="64"/>
      <c r="F108" s="64"/>
    </row>
    <row r="109" spans="2:6" x14ac:dyDescent="0.15">
      <c r="B109" s="55" t="s">
        <v>335</v>
      </c>
      <c r="C109" s="55" t="s">
        <v>336</v>
      </c>
      <c r="D109" s="64"/>
      <c r="E109" s="64"/>
      <c r="F109" s="64"/>
    </row>
    <row r="110" spans="2:6" x14ac:dyDescent="0.15">
      <c r="B110" s="64" t="s">
        <v>337</v>
      </c>
      <c r="C110" s="64" t="s">
        <v>338</v>
      </c>
      <c r="D110" s="64"/>
      <c r="E110" s="64"/>
      <c r="F110" s="64"/>
    </row>
    <row r="111" spans="2:6" x14ac:dyDescent="0.15">
      <c r="B111" s="64" t="s">
        <v>339</v>
      </c>
      <c r="C111" s="64" t="s">
        <v>340</v>
      </c>
      <c r="D111" s="64"/>
      <c r="E111" s="64"/>
      <c r="F111" s="64"/>
    </row>
    <row r="112" spans="2:6" x14ac:dyDescent="0.15">
      <c r="B112" s="64" t="s">
        <v>341</v>
      </c>
      <c r="C112" s="64" t="s">
        <v>342</v>
      </c>
      <c r="D112" s="64"/>
      <c r="E112" s="64"/>
      <c r="F112" s="64"/>
    </row>
    <row r="113" spans="2:4" x14ac:dyDescent="0.15">
      <c r="B113" s="64" t="s">
        <v>343</v>
      </c>
      <c r="C113" s="64" t="s">
        <v>344</v>
      </c>
      <c r="D113" s="64"/>
    </row>
    <row r="114" spans="2:4" x14ac:dyDescent="0.15">
      <c r="B114" s="64" t="s">
        <v>345</v>
      </c>
      <c r="C114" s="64" t="s">
        <v>346</v>
      </c>
      <c r="D114" s="64"/>
    </row>
    <row r="115" spans="2:4" x14ac:dyDescent="0.15">
      <c r="B115" s="64" t="s">
        <v>347</v>
      </c>
      <c r="C115" s="64" t="s">
        <v>348</v>
      </c>
      <c r="D115" s="64"/>
    </row>
    <row r="116" spans="2:4" x14ac:dyDescent="0.15">
      <c r="B116" s="64" t="s">
        <v>349</v>
      </c>
      <c r="C116" s="64" t="s">
        <v>350</v>
      </c>
      <c r="D116" s="64"/>
    </row>
    <row r="118" spans="2:4" x14ac:dyDescent="0.15">
      <c r="B118" s="52" t="s">
        <v>351</v>
      </c>
      <c r="C118" s="64"/>
      <c r="D118" s="64"/>
    </row>
    <row r="119" spans="2:4" x14ac:dyDescent="0.15">
      <c r="B119" s="61" t="s">
        <v>282</v>
      </c>
      <c r="C119" s="61" t="s">
        <v>352</v>
      </c>
      <c r="D119" s="64"/>
    </row>
    <row r="120" spans="2:4" x14ac:dyDescent="0.15">
      <c r="B120" s="64" t="s">
        <v>353</v>
      </c>
      <c r="C120" s="64" t="s">
        <v>354</v>
      </c>
      <c r="D120" s="57" t="s">
        <v>276</v>
      </c>
    </row>
    <row r="121" spans="2:4" x14ac:dyDescent="0.15">
      <c r="B121" s="64" t="s">
        <v>355</v>
      </c>
      <c r="C121" s="64" t="s">
        <v>356</v>
      </c>
      <c r="D121" s="64"/>
    </row>
    <row r="122" spans="2:4" x14ac:dyDescent="0.15">
      <c r="B122" s="64" t="s">
        <v>357</v>
      </c>
      <c r="C122" s="64" t="s">
        <v>358</v>
      </c>
      <c r="D122" s="64"/>
    </row>
    <row r="123" spans="2:4" x14ac:dyDescent="0.15">
      <c r="B123" s="64" t="s">
        <v>359</v>
      </c>
      <c r="C123" s="64" t="s">
        <v>360</v>
      </c>
      <c r="D123" s="64"/>
    </row>
    <row r="124" spans="2:4" x14ac:dyDescent="0.15">
      <c r="B124" s="64" t="s">
        <v>361</v>
      </c>
      <c r="C124" s="64" t="s">
        <v>362</v>
      </c>
      <c r="D124" s="64"/>
    </row>
    <row r="125" spans="2:4" x14ac:dyDescent="0.15">
      <c r="B125" s="64" t="s">
        <v>363</v>
      </c>
      <c r="C125" s="64" t="s">
        <v>364</v>
      </c>
      <c r="D125" s="57" t="s">
        <v>276</v>
      </c>
    </row>
  </sheetData>
  <sheetProtection algorithmName="SHA-512" hashValue="2tmAS5jaOiOMbu+G5oL/hfIWcV+a4JFZRKILQgktxLwfX+PKWHo9wURKoKHa9aKboYlC2WRWxmjdv2sEMnSvCg==" saltValue="LpHd8R4sxsWPdQP+6DDq2Q==" spinCount="100000" sheet="1" objects="1" scenarios="1"/>
  <mergeCells count="3">
    <mergeCell ref="B74:F74"/>
    <mergeCell ref="B2:F2"/>
    <mergeCell ref="B4:F4"/>
  </mergeCells>
  <phoneticPr fontId="15" type="noConversion"/>
  <pageMargins left="0.7" right="0.7" top="0.75" bottom="0.75" header="0.3" footer="0.3"/>
  <tableParts count="5">
    <tablePart r:id="rId1"/>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beafc7-04f9-4afa-975b-2fe95de9f889">
      <Terms xmlns="http://schemas.microsoft.com/office/infopath/2007/PartnerControls"/>
    </lcf76f155ced4ddcb4097134ff3c332f>
    <TaxCatchAll xmlns="d4f7233d-c6cc-4143-871d-35c4175ee7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D179AA3CB07A45BA0222508AC40F1A" ma:contentTypeVersion="15" ma:contentTypeDescription="Create a new document." ma:contentTypeScope="" ma:versionID="8fc28e18dd8cc7462bc5ae217cdfbd1d">
  <xsd:schema xmlns:xsd="http://www.w3.org/2001/XMLSchema" xmlns:xs="http://www.w3.org/2001/XMLSchema" xmlns:p="http://schemas.microsoft.com/office/2006/metadata/properties" xmlns:ns2="87beafc7-04f9-4afa-975b-2fe95de9f889" xmlns:ns3="d4f7233d-c6cc-4143-871d-35c4175ee776" targetNamespace="http://schemas.microsoft.com/office/2006/metadata/properties" ma:root="true" ma:fieldsID="02e41642f104bc5fb0dc23b25ee2e8ba" ns2:_="" ns3:_="">
    <xsd:import namespace="87beafc7-04f9-4afa-975b-2fe95de9f889"/>
    <xsd:import namespace="d4f7233d-c6cc-4143-871d-35c4175ee7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eafc7-04f9-4afa-975b-2fe95de9f8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c7c17f-9684-49a8-baaa-e96ac37fa44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7233d-c6cc-4143-871d-35c4175ee7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f9ef14-c1a0-4a0a-bb2e-d4c97bcb7c2a}" ma:internalName="TaxCatchAll" ma:showField="CatchAllData" ma:web="d4f7233d-c6cc-4143-871d-35c4175ee77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2F0E36-E5EB-49C6-8A36-F355F29A9B64}">
  <ds:schemaRefs>
    <ds:schemaRef ds:uri="http://schemas.microsoft.com/office/2006/metadata/properties"/>
    <ds:schemaRef ds:uri="http://schemas.microsoft.com/office/infopath/2007/PartnerControls"/>
    <ds:schemaRef ds:uri="87beafc7-04f9-4afa-975b-2fe95de9f889"/>
    <ds:schemaRef ds:uri="d4f7233d-c6cc-4143-871d-35c4175ee776"/>
  </ds:schemaRefs>
</ds:datastoreItem>
</file>

<file path=customXml/itemProps2.xml><?xml version="1.0" encoding="utf-8"?>
<ds:datastoreItem xmlns:ds="http://schemas.openxmlformats.org/officeDocument/2006/customXml" ds:itemID="{9819FEDB-AE65-4BC4-B6AE-0415D91F6F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eafc7-04f9-4afa-975b-2fe95de9f889"/>
    <ds:schemaRef ds:uri="d4f7233d-c6cc-4143-871d-35c4175ee7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640B68-3BFA-45BA-A322-838A62A5CD00}">
  <ds:schemaRefs>
    <ds:schemaRef ds:uri="http://schemas.microsoft.com/DataMashup"/>
  </ds:schemaRefs>
</ds:datastoreItem>
</file>

<file path=customXml/itemProps4.xml><?xml version="1.0" encoding="utf-8"?>
<ds:datastoreItem xmlns:ds="http://schemas.openxmlformats.org/officeDocument/2006/customXml" ds:itemID="{68EE651A-E1B3-4593-A1FD-B3AF67087D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Salary Summary</vt:lpstr>
      <vt:lpstr>2 Housing Adjustment</vt:lpstr>
      <vt:lpstr>3 Track Record, Exp, Edn, Size</vt:lpstr>
      <vt:lpstr>Examples</vt:lpstr>
      <vt:lpstr>Living Wage</vt:lpstr>
      <vt:lpstr>Clergy Residence Deduction</vt:lpstr>
      <vt:lpstr>Notes 2027</vt:lpstr>
      <vt:lpstr>Settings</vt:lpstr>
      <vt:lpstr>Base_Salary_Current</vt:lpstr>
      <vt:lpstr>COLA_Factor</vt:lpstr>
      <vt:lpstr>COLA_Percent</vt:lpstr>
      <vt:lpstr>Education</vt:lpstr>
      <vt:lpstr>Experience</vt:lpstr>
      <vt:lpstr>Experience_Rate_Current</vt:lpstr>
      <vt:lpstr>HousingAdjustment</vt:lpstr>
      <vt:lpstr>Lead_1200_Premium</vt:lpstr>
      <vt:lpstr>Merit_Max_Current</vt:lpstr>
      <vt:lpstr>SalaryGuide_ChurchSizeList</vt:lpstr>
      <vt:lpstr>SalaryGuide_EducationList</vt:lpstr>
      <vt:lpstr>SalaryGuide_ExperienceList</vt:lpstr>
      <vt:lpstr>SalaryGuide_HousingList</vt:lpstr>
      <vt:lpstr>Size</vt:lpstr>
      <vt:lpstr>TrackRec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Strickland</dc:creator>
  <cp:keywords/>
  <dc:description/>
  <cp:lastModifiedBy>Tim Strickland</cp:lastModifiedBy>
  <cp:revision/>
  <dcterms:created xsi:type="dcterms:W3CDTF">2019-04-17T22:41:52Z</dcterms:created>
  <dcterms:modified xsi:type="dcterms:W3CDTF">2026-10-07T19:22:42Z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0x01010065D179AA3CB07A45BA0222508AC40F1A</vt:lpwstr>
  </property>
  <property fmtid="{D5CDD505-2E9C-101B-9397-08002B2CF9AE}" pid="3" name="MediaServiceImageTags">
    <vt:lpwstr/>
  </property>
</Properties>
</file>